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375" windowWidth="15075" windowHeight="7890" tabRatio="783"/>
  </bookViews>
  <sheets>
    <sheet name="2011-13 Appropriated Funds" sheetId="1" r:id="rId1"/>
    <sheet name="2011-13 Alternatively Financed" sheetId="5" r:id="rId2"/>
    <sheet name="M&amp;O Request" sheetId="6" r:id="rId3"/>
  </sheets>
  <definedNames>
    <definedName name="_xlnm._FilterDatabase" localSheetId="0" hidden="1">'2011-13 Appropriated Funds'!$A$7:$AI$41</definedName>
    <definedName name="_xlnm.Print_Area" localSheetId="1">'2011-13 Alternatively Financed'!$B$4:$L$18</definedName>
    <definedName name="_xlnm.Print_Area" localSheetId="0">'2011-13 Appropriated Funds'!$B$4:$O$41</definedName>
    <definedName name="_xlnm.Print_Area" localSheetId="2">'M&amp;O Request'!$A$2:$Q$39</definedName>
  </definedNames>
  <calcPr calcId="125725"/>
</workbook>
</file>

<file path=xl/calcChain.xml><?xml version="1.0" encoding="utf-8"?>
<calcChain xmlns="http://schemas.openxmlformats.org/spreadsheetml/2006/main">
  <c r="P44" i="1"/>
  <c r="O45"/>
  <c r="W41"/>
  <c r="W40"/>
  <c r="M41"/>
  <c r="M40"/>
  <c r="O41"/>
  <c r="O40"/>
  <c r="AI39"/>
  <c r="AH39"/>
  <c r="AG39"/>
  <c r="W39"/>
  <c r="O39"/>
  <c r="L39"/>
  <c r="M39" s="1"/>
  <c r="L13" i="5" l="1"/>
  <c r="L12"/>
  <c r="L11"/>
  <c r="L10"/>
  <c r="L9"/>
  <c r="L8"/>
  <c r="O38" i="1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I43" l="1"/>
  <c r="H43"/>
  <c r="K43"/>
  <c r="J43"/>
  <c r="AF38" l="1"/>
  <c r="AF24"/>
  <c r="AF16"/>
  <c r="AF19"/>
  <c r="AF20"/>
  <c r="AF21"/>
  <c r="AF22"/>
  <c r="AF18"/>
  <c r="AF17"/>
  <c r="N18" i="6"/>
  <c r="M18"/>
  <c r="G32"/>
  <c r="P32" s="1"/>
  <c r="G31"/>
  <c r="Q30"/>
  <c r="P30"/>
  <c r="N30"/>
  <c r="M30"/>
  <c r="Q12"/>
  <c r="P12"/>
  <c r="N12"/>
  <c r="M12"/>
  <c r="Q27"/>
  <c r="P27"/>
  <c r="N27"/>
  <c r="M27"/>
  <c r="Q26"/>
  <c r="P26"/>
  <c r="N26"/>
  <c r="M26"/>
  <c r="Q21"/>
  <c r="P21"/>
  <c r="N21"/>
  <c r="M21"/>
  <c r="Q25"/>
  <c r="P25"/>
  <c r="N25"/>
  <c r="M25"/>
  <c r="Q33"/>
  <c r="P33"/>
  <c r="N33"/>
  <c r="M33"/>
  <c r="Q11"/>
  <c r="P11"/>
  <c r="N11"/>
  <c r="M11"/>
  <c r="Q34"/>
  <c r="P34"/>
  <c r="M34"/>
  <c r="L34"/>
  <c r="N34" s="1"/>
  <c r="Q20"/>
  <c r="P20"/>
  <c r="M20"/>
  <c r="L20"/>
  <c r="N20" s="1"/>
  <c r="Q22"/>
  <c r="P22"/>
  <c r="N22"/>
  <c r="M22"/>
  <c r="Q14"/>
  <c r="P14"/>
  <c r="N14"/>
  <c r="M14"/>
  <c r="Q16"/>
  <c r="P16"/>
  <c r="N16"/>
  <c r="M16"/>
  <c r="Q29"/>
  <c r="P29"/>
  <c r="M29"/>
  <c r="L29"/>
  <c r="N29" s="1"/>
  <c r="Q28"/>
  <c r="P28"/>
  <c r="N28"/>
  <c r="K28"/>
  <c r="M28" s="1"/>
  <c r="Q17"/>
  <c r="P17"/>
  <c r="N17"/>
  <c r="M17"/>
  <c r="Q15"/>
  <c r="P15"/>
  <c r="N15"/>
  <c r="M15"/>
  <c r="Q13"/>
  <c r="P13"/>
  <c r="N13"/>
  <c r="M13"/>
  <c r="Q19"/>
  <c r="P19"/>
  <c r="N19"/>
  <c r="M19"/>
  <c r="Q18"/>
  <c r="P18"/>
  <c r="Q23"/>
  <c r="P23"/>
  <c r="N23"/>
  <c r="M23"/>
  <c r="Q24"/>
  <c r="P24"/>
  <c r="N24"/>
  <c r="M24"/>
  <c r="O28" l="1"/>
  <c r="O16"/>
  <c r="O14"/>
  <c r="O22"/>
  <c r="O11"/>
  <c r="O33"/>
  <c r="O25"/>
  <c r="M31"/>
  <c r="O23"/>
  <c r="O19"/>
  <c r="O13"/>
  <c r="O15"/>
  <c r="O17"/>
  <c r="O26"/>
  <c r="O27"/>
  <c r="O12"/>
  <c r="Q31"/>
  <c r="M32"/>
  <c r="Q32"/>
  <c r="O18"/>
  <c r="N31"/>
  <c r="P31"/>
  <c r="N32"/>
  <c r="O30"/>
  <c r="O21"/>
  <c r="O29"/>
  <c r="O20"/>
  <c r="O34"/>
  <c r="O24"/>
  <c r="O32" l="1"/>
  <c r="O31"/>
  <c r="AI38" i="1" l="1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2"/>
  <c r="AH36"/>
  <c r="AG36"/>
  <c r="AF36"/>
  <c r="AH35"/>
  <c r="AG35"/>
  <c r="AF35"/>
  <c r="AH34"/>
  <c r="AG34"/>
  <c r="AF34"/>
  <c r="AH32"/>
  <c r="AG32"/>
  <c r="AH31"/>
  <c r="AG31"/>
  <c r="AH30"/>
  <c r="AG30"/>
  <c r="AF30"/>
  <c r="AH29"/>
  <c r="AG29"/>
  <c r="AH26"/>
  <c r="AG26"/>
  <c r="AH24"/>
  <c r="AG24"/>
  <c r="AH23"/>
  <c r="AG23"/>
  <c r="AH22"/>
  <c r="AG22"/>
  <c r="AH21"/>
  <c r="AG21"/>
  <c r="AH20"/>
  <c r="AG20"/>
  <c r="AH19"/>
  <c r="AG19"/>
  <c r="AH38"/>
  <c r="AH33"/>
  <c r="AH28"/>
  <c r="AH27"/>
  <c r="AH25"/>
  <c r="AH12"/>
  <c r="AH18"/>
  <c r="AH17"/>
  <c r="AH16"/>
  <c r="AG25"/>
  <c r="AF25"/>
  <c r="AG28"/>
  <c r="AH37"/>
  <c r="AG37"/>
  <c r="AG38"/>
  <c r="AG33"/>
  <c r="AG27"/>
  <c r="AG18"/>
  <c r="AG17"/>
  <c r="AG16"/>
  <c r="AF12"/>
  <c r="AG12"/>
  <c r="AF27" l="1"/>
  <c r="J45" i="5" l="1"/>
  <c r="J44"/>
  <c r="J43"/>
  <c r="J42"/>
  <c r="J41"/>
  <c r="J40"/>
  <c r="J39"/>
  <c r="J38"/>
  <c r="J13"/>
  <c r="J12"/>
  <c r="J11"/>
  <c r="J10"/>
  <c r="J9"/>
  <c r="J8"/>
  <c r="W38" i="1" l="1"/>
  <c r="L38"/>
  <c r="W37"/>
  <c r="L37"/>
  <c r="W36"/>
  <c r="L36"/>
  <c r="W35"/>
  <c r="L35"/>
  <c r="W34"/>
  <c r="L34"/>
  <c r="W33"/>
  <c r="L33"/>
  <c r="W32"/>
  <c r="L32"/>
  <c r="W31"/>
  <c r="L31"/>
  <c r="W30"/>
  <c r="L30"/>
  <c r="W29"/>
  <c r="L29"/>
  <c r="W28"/>
  <c r="L28"/>
  <c r="W27"/>
  <c r="L27"/>
  <c r="W26"/>
  <c r="L26"/>
  <c r="W25"/>
  <c r="L25"/>
  <c r="W24"/>
  <c r="L24"/>
  <c r="W23"/>
  <c r="L23"/>
  <c r="W22"/>
  <c r="L22"/>
  <c r="W21"/>
  <c r="L21"/>
  <c r="W20"/>
  <c r="L20"/>
  <c r="W19"/>
  <c r="L19"/>
  <c r="W18"/>
  <c r="L18"/>
  <c r="W17"/>
  <c r="L17"/>
  <c r="W16"/>
  <c r="L16" l="1"/>
  <c r="W15"/>
  <c r="L15"/>
  <c r="W14"/>
  <c r="L14"/>
  <c r="W13"/>
  <c r="L13"/>
  <c r="W12"/>
  <c r="L12"/>
  <c r="W11"/>
  <c r="L11"/>
  <c r="W10"/>
  <c r="L10"/>
  <c r="W9"/>
  <c r="L9"/>
  <c r="W8"/>
  <c r="L8"/>
  <c r="M38" l="1"/>
  <c r="M36"/>
  <c r="M34"/>
  <c r="M32"/>
  <c r="M30"/>
  <c r="M28"/>
  <c r="M26"/>
  <c r="M24"/>
  <c r="M22"/>
  <c r="M20"/>
  <c r="M18"/>
  <c r="M37"/>
  <c r="M35"/>
  <c r="M33"/>
  <c r="M31"/>
  <c r="M29"/>
  <c r="M27"/>
  <c r="M25"/>
  <c r="M23"/>
  <c r="M21"/>
  <c r="M19"/>
  <c r="M17"/>
  <c r="M9"/>
  <c r="M11"/>
  <c r="M13"/>
  <c r="M15"/>
  <c r="M8"/>
  <c r="M10"/>
  <c r="M12"/>
  <c r="M14"/>
  <c r="M16"/>
</calcChain>
</file>

<file path=xl/comments1.xml><?xml version="1.0" encoding="utf-8"?>
<comments xmlns="http://schemas.openxmlformats.org/spreadsheetml/2006/main">
  <authors>
    <author>Wayne Doty</author>
  </authors>
  <commentList>
    <comment ref="AC17" authorId="0">
      <text>
        <r>
          <rPr>
            <b/>
            <sz val="9"/>
            <color indexed="81"/>
            <rFont val="Tahoma"/>
            <family val="2"/>
          </rPr>
          <t>Wayne Doty:</t>
        </r>
        <r>
          <rPr>
            <sz val="9"/>
            <color indexed="81"/>
            <rFont val="Tahoma"/>
            <family val="2"/>
          </rPr>
          <t xml:space="preserve">
Why is this in the "growth" category? It was originally proposed and scored as growth. It was part of a series of projects on campus. During 2009-11 session this phase was changed renovation.</t>
        </r>
      </text>
    </comment>
    <comment ref="AA26" authorId="0">
      <text>
        <r>
          <rPr>
            <b/>
            <sz val="9"/>
            <color indexed="81"/>
            <rFont val="Tahoma"/>
            <family val="2"/>
          </rPr>
          <t>Wayne Doty:</t>
        </r>
        <r>
          <rPr>
            <sz val="9"/>
            <color indexed="81"/>
            <rFont val="Tahoma"/>
            <family val="2"/>
          </rPr>
          <t xml:space="preserve">
for construction</t>
        </r>
      </text>
    </comment>
  </commentList>
</comments>
</file>

<file path=xl/comments2.xml><?xml version="1.0" encoding="utf-8"?>
<comments xmlns="http://schemas.openxmlformats.org/spreadsheetml/2006/main">
  <authors>
    <author>Lynda</author>
  </authors>
  <commentList>
    <comment ref="G30" authorId="0">
      <text>
        <r>
          <rPr>
            <b/>
            <sz val="9"/>
            <color indexed="81"/>
            <rFont val="Tahoma"/>
            <family val="2"/>
          </rPr>
          <t>Lynda:</t>
        </r>
        <r>
          <rPr>
            <sz val="9"/>
            <color indexed="81"/>
            <rFont val="Tahoma"/>
            <family val="2"/>
          </rPr>
          <t xml:space="preserve">
100% instruction</t>
        </r>
      </text>
    </comment>
    <comment ref="G31" authorId="0">
      <text>
        <r>
          <rPr>
            <sz val="9"/>
            <color indexed="81"/>
            <rFont val="Tahoma"/>
            <family val="2"/>
          </rPr>
          <t>90% instruction</t>
        </r>
      </text>
    </comment>
    <comment ref="G32" authorId="0">
      <text>
        <r>
          <rPr>
            <sz val="9"/>
            <color indexed="81"/>
            <rFont val="Tahoma"/>
            <family val="2"/>
          </rPr>
          <t>20% Instruction</t>
        </r>
      </text>
    </comment>
  </commentList>
</comments>
</file>

<file path=xl/sharedStrings.xml><?xml version="1.0" encoding="utf-8"?>
<sst xmlns="http://schemas.openxmlformats.org/spreadsheetml/2006/main" count="413" uniqueCount="243">
  <si>
    <t>Type</t>
  </si>
  <si>
    <t xml:space="preserve">College </t>
  </si>
  <si>
    <t>Project</t>
  </si>
  <si>
    <t>Predesign</t>
  </si>
  <si>
    <t>Acquisition</t>
  </si>
  <si>
    <t>Design</t>
  </si>
  <si>
    <t>Construction</t>
  </si>
  <si>
    <t>Total</t>
  </si>
  <si>
    <t>Biennium</t>
  </si>
  <si>
    <t>Minor Works - Preservation</t>
  </si>
  <si>
    <t>Statewide</t>
  </si>
  <si>
    <t>Emergency Repairs and Improvements</t>
  </si>
  <si>
    <t>Roof Repairs "A"</t>
  </si>
  <si>
    <t>Roof Repairs</t>
  </si>
  <si>
    <t>Facility Repairs "A"</t>
  </si>
  <si>
    <t>Facility Repairs</t>
  </si>
  <si>
    <t>Site Repairs "A"</t>
  </si>
  <si>
    <t>Site Repairs</t>
  </si>
  <si>
    <t>Matching Fund Projects</t>
  </si>
  <si>
    <t>Peninsula</t>
  </si>
  <si>
    <t>Fort Worden Education Center</t>
  </si>
  <si>
    <t>Spokane Falls</t>
  </si>
  <si>
    <t>Stadium and Athletic Fields</t>
  </si>
  <si>
    <t>Lower Columbia</t>
  </si>
  <si>
    <t>Myklebust Gymnasium</t>
  </si>
  <si>
    <t>Minor Works - Program</t>
  </si>
  <si>
    <t>Minor Program Improvements</t>
  </si>
  <si>
    <t>Major Project - Construction</t>
  </si>
  <si>
    <t xml:space="preserve">Spokane Falls  </t>
  </si>
  <si>
    <t>Campus Classrooms</t>
  </si>
  <si>
    <t xml:space="preserve">Grays Harbor  </t>
  </si>
  <si>
    <t>Science and Math Building</t>
  </si>
  <si>
    <t xml:space="preserve">South Puget Sound </t>
  </si>
  <si>
    <t>Learning Resource Center</t>
  </si>
  <si>
    <t xml:space="preserve">Seattle Central  </t>
  </si>
  <si>
    <t>Seattle Maritime Academy</t>
  </si>
  <si>
    <t xml:space="preserve">Clover Park </t>
  </si>
  <si>
    <t>Allied Health Care Facility</t>
  </si>
  <si>
    <t xml:space="preserve">Yakima Valley  </t>
  </si>
  <si>
    <t>Palmer Martin Building</t>
  </si>
  <si>
    <t xml:space="preserve">Everett  </t>
  </si>
  <si>
    <t>Index Hall Replacement</t>
  </si>
  <si>
    <t xml:space="preserve">Green River  </t>
  </si>
  <si>
    <t>Trades and Industry Building</t>
  </si>
  <si>
    <t>Science Math and Technology Buildimg</t>
  </si>
  <si>
    <t xml:space="preserve">Bates  </t>
  </si>
  <si>
    <t>Mohler Communications Technology Center</t>
  </si>
  <si>
    <t xml:space="preserve">Skagit Valley </t>
  </si>
  <si>
    <t>Academic and Student Services Building</t>
  </si>
  <si>
    <t xml:space="preserve">Clark  </t>
  </si>
  <si>
    <t>Health and Advanced Technologies Building</t>
  </si>
  <si>
    <t xml:space="preserve">Lower Columbia </t>
  </si>
  <si>
    <t>Health and Science Building</t>
  </si>
  <si>
    <t>Major Project - Design</t>
  </si>
  <si>
    <t xml:space="preserve">Olympic  </t>
  </si>
  <si>
    <t>College Instruction Center</t>
  </si>
  <si>
    <t xml:space="preserve">North Seattle  </t>
  </si>
  <si>
    <t>Technology Building Renewal</t>
  </si>
  <si>
    <t xml:space="preserve">Tacoma  </t>
  </si>
  <si>
    <t>Health Careers Center</t>
  </si>
  <si>
    <t xml:space="preserve">Centralia  </t>
  </si>
  <si>
    <t>Student Services</t>
  </si>
  <si>
    <t xml:space="preserve">Bellevue  </t>
  </si>
  <si>
    <t>Health Science Building</t>
  </si>
  <si>
    <t xml:space="preserve">Columbia Basin  </t>
  </si>
  <si>
    <t>Social Science Center</t>
  </si>
  <si>
    <t xml:space="preserve">Peninsula  </t>
  </si>
  <si>
    <t>Allied Health and Early Childhood Dev Center</t>
  </si>
  <si>
    <t xml:space="preserve">South Seattle  </t>
  </si>
  <si>
    <t xml:space="preserve">Renton  </t>
  </si>
  <si>
    <t>Automotive Complex Renovation</t>
  </si>
  <si>
    <t xml:space="preserve">Edmonds  </t>
  </si>
  <si>
    <t>Science Engineering Technology Bldg</t>
  </si>
  <si>
    <t xml:space="preserve">Whatcom  </t>
  </si>
  <si>
    <t>Learning Commons</t>
  </si>
  <si>
    <t>Cascade Court</t>
  </si>
  <si>
    <t>Notes:</t>
  </si>
  <si>
    <t>A</t>
  </si>
  <si>
    <t>B</t>
  </si>
  <si>
    <t>C</t>
  </si>
  <si>
    <t>D</t>
  </si>
  <si>
    <t>Additional design costs for projects in construction are based on revised cost estimates with corrections to basic service calculations.</t>
  </si>
  <si>
    <t>Minor Work and Repair budgets are the same as requested in 2009-11 and are projected to increase 10% from 2011-13 in 2013-15.</t>
  </si>
  <si>
    <t>Category</t>
  </si>
  <si>
    <t>Growth</t>
  </si>
  <si>
    <t>Replacement</t>
  </si>
  <si>
    <t>Renovation</t>
  </si>
  <si>
    <t>E</t>
  </si>
  <si>
    <t>Based on May 28, 2010 and June 30, 2010 WACTC Recommendations and SBCTC Resolutions 10-06-29 and 10-08-33.</t>
  </si>
  <si>
    <t>Priority</t>
  </si>
  <si>
    <t>Construction occurs in order of system priority.</t>
  </si>
  <si>
    <t>Construction Administration costs are included in the period when construction is funded including the CA shifts in 2009-11 Enacted 2010 Supplemental Budget.</t>
  </si>
  <si>
    <t>Local</t>
  </si>
  <si>
    <t>COP</t>
  </si>
  <si>
    <t>Wenatchee</t>
  </si>
  <si>
    <t>Whatcom</t>
  </si>
  <si>
    <t>Forks Satellite Site</t>
  </si>
  <si>
    <t>Wellness Center</t>
  </si>
  <si>
    <t>Auxiliary Services Building</t>
  </si>
  <si>
    <t>Walla Walla</t>
  </si>
  <si>
    <t>Bellingham</t>
  </si>
  <si>
    <t>Edmonds</t>
  </si>
  <si>
    <t>Spokane</t>
  </si>
  <si>
    <t>North Seattle</t>
  </si>
  <si>
    <t>Everett</t>
  </si>
  <si>
    <t>Change Description</t>
  </si>
  <si>
    <t>Green River</t>
  </si>
  <si>
    <t>(a) Purchase up to 40 Acres</t>
  </si>
  <si>
    <t>(b) Instructional Resource Center</t>
  </si>
  <si>
    <t>(c) Instructional Resource Center</t>
  </si>
  <si>
    <t>(d) Allied Health and Construction Industry</t>
  </si>
  <si>
    <t>(e) Riverpoint One</t>
  </si>
  <si>
    <t>(f) Employment Resource Center</t>
  </si>
  <si>
    <t>(g) Student Fitness and Health Center</t>
  </si>
  <si>
    <t>(j) Water and Envionmental Center</t>
  </si>
  <si>
    <t>(i) 40,000 SF Addition to Kent Station</t>
  </si>
  <si>
    <t>(k) Project 20061205</t>
  </si>
  <si>
    <t>sold</t>
  </si>
  <si>
    <t>ESHB 2836 Sec. 6001</t>
  </si>
  <si>
    <t>Reference</t>
  </si>
  <si>
    <t>Reauthorize</t>
  </si>
  <si>
    <t>(h) Music and Art Center Building</t>
  </si>
  <si>
    <t>Based on SBCTC Resolutions 08-06-25, 10-06-29, and 10-08-33.</t>
  </si>
  <si>
    <t>cancel</t>
  </si>
  <si>
    <t>Number</t>
  </si>
  <si>
    <t>SBCTC Capital Requests for New Appropriated Funds in 2011-13</t>
  </si>
  <si>
    <t>Authorize</t>
  </si>
  <si>
    <t>will be sold in 2009-11</t>
  </si>
  <si>
    <t>State *</t>
  </si>
  <si>
    <t>Predesigns and designs needed for 2013-15 construction are added to the list assuming about $390M in state capital appropriations in 2013-15.</t>
  </si>
  <si>
    <t>New Approp.</t>
  </si>
  <si>
    <t>Request</t>
  </si>
  <si>
    <t>SBCTC Capital Requests for COPs to be paid from non-appropriated funds in 2011-13</t>
  </si>
  <si>
    <t>State capital funds currently authorized in ESHB 1216. For Wenatchee, see Section 5216 project 30000119. For Walla Walla see Section 5227 project 91000007.</t>
  </si>
  <si>
    <t>Centralia Community College will need a $5M COP for construction of the Student Services Building project 30000123 in 2013-15.</t>
  </si>
  <si>
    <t>001 11-13</t>
  </si>
  <si>
    <t>001 13-15</t>
  </si>
  <si>
    <t>001 15-17</t>
  </si>
  <si>
    <t>001 17-19</t>
  </si>
  <si>
    <t>Projected Operating Budget Impacts</t>
  </si>
  <si>
    <t>001 19-21</t>
  </si>
  <si>
    <t>New</t>
  </si>
  <si>
    <t>Renovated</t>
  </si>
  <si>
    <t>Demolished</t>
  </si>
  <si>
    <t>Square Footage</t>
  </si>
  <si>
    <t>Funded</t>
  </si>
  <si>
    <t>Requested</t>
  </si>
  <si>
    <t>FY 2010</t>
  </si>
  <si>
    <t>FY 2011</t>
  </si>
  <si>
    <t>FY 2012</t>
  </si>
  <si>
    <t>FY 2013</t>
  </si>
  <si>
    <t>Seattle CPI, June 2010</t>
  </si>
  <si>
    <t>Gross Square Footage</t>
  </si>
  <si>
    <t>Substantial Completion Date</t>
  </si>
  <si>
    <t>Projected Percentage of Year Occupied</t>
  </si>
  <si>
    <t>Proposed State Support</t>
  </si>
  <si>
    <t>Annualized Cost of M&amp;O</t>
  </si>
  <si>
    <t>District</t>
  </si>
  <si>
    <t>Building Name</t>
  </si>
  <si>
    <t>Project 
Code</t>
  </si>
  <si>
    <t>Street Address</t>
  </si>
  <si>
    <t>City</t>
  </si>
  <si>
    <t>2011-13
TOTAL</t>
  </si>
  <si>
    <t>Bates</t>
  </si>
  <si>
    <t>Mohler Campus Communications Technology Facility</t>
  </si>
  <si>
    <t>2320 So 19th St</t>
  </si>
  <si>
    <t>Tacoma</t>
  </si>
  <si>
    <t>Bellevue</t>
  </si>
  <si>
    <t>Health Sciences Building</t>
  </si>
  <si>
    <t>3000 Landerholm Cir</t>
  </si>
  <si>
    <t>3010 Lindbergh Ave</t>
  </si>
  <si>
    <t>Surge Space</t>
  </si>
  <si>
    <t>2701 Nome St</t>
  </si>
  <si>
    <t>Clover Park</t>
  </si>
  <si>
    <t>Allied Health</t>
  </si>
  <si>
    <t>4500 Steilacoom Blvd</t>
  </si>
  <si>
    <t>Lakewood</t>
  </si>
  <si>
    <t>Columbia Basin*</t>
  </si>
  <si>
    <t>Career and Technical Education Center</t>
  </si>
  <si>
    <t>2600 N 20th Ave</t>
  </si>
  <si>
    <t>Pasco</t>
  </si>
  <si>
    <t>Index Replacement</t>
  </si>
  <si>
    <t>2000 Tower St</t>
  </si>
  <si>
    <t>Science and Math Technology Building - Phase I</t>
  </si>
  <si>
    <t>12401 SE 320th St</t>
  </si>
  <si>
    <t>Auburn</t>
  </si>
  <si>
    <t>Science and Math Technology Building - Phase II</t>
  </si>
  <si>
    <t>Peninsula*</t>
  </si>
  <si>
    <t>Business and Humanities (Maier Hall)</t>
  </si>
  <si>
    <t>1502 E Lauridsen Blvd</t>
  </si>
  <si>
    <t>Port Angeles</t>
  </si>
  <si>
    <t>Seattle</t>
  </si>
  <si>
    <t>Wood Construction Center</t>
  </si>
  <si>
    <t>2310 S Lane St</t>
  </si>
  <si>
    <t>South Puget Sound*</t>
  </si>
  <si>
    <t>Building 22 Renovation</t>
  </si>
  <si>
    <t>2011 Mottman Rd SW</t>
  </si>
  <si>
    <t>Olympia</t>
  </si>
  <si>
    <t>Skagit Valley</t>
  </si>
  <si>
    <t>Academic &amp; Student Support Building</t>
  </si>
  <si>
    <t>2405 E College Way</t>
  </si>
  <si>
    <t>Mount Vernon</t>
  </si>
  <si>
    <t>Aerospace Technology Center</t>
  </si>
  <si>
    <t>COM 30000082</t>
  </si>
  <si>
    <t>9000 W Airport Dr</t>
  </si>
  <si>
    <t>Campus Classrooms &amp; Early Learning Center</t>
  </si>
  <si>
    <t>2410 W Fort Wright Dr</t>
  </si>
  <si>
    <t>Water and Environmental Center</t>
  </si>
  <si>
    <t>500 Tausick</t>
  </si>
  <si>
    <t>Music and Art</t>
  </si>
  <si>
    <t>1300 5th St</t>
  </si>
  <si>
    <t>Health &amp; Sciences Building</t>
  </si>
  <si>
    <t>1600 Maple</t>
  </si>
  <si>
    <t>Longview</t>
  </si>
  <si>
    <t>Seattle - Central</t>
  </si>
  <si>
    <t>Maritime Academy Replacement</t>
  </si>
  <si>
    <t>4455 Shilshole</t>
  </si>
  <si>
    <t>Seattle - North</t>
  </si>
  <si>
    <t>9600 College Way N</t>
  </si>
  <si>
    <t>South Puget Sound</t>
  </si>
  <si>
    <t>71 S Forks Ave</t>
  </si>
  <si>
    <t>Forks</t>
  </si>
  <si>
    <t>237 W Kellogg Rd</t>
  </si>
  <si>
    <t>ML</t>
  </si>
  <si>
    <t>Instructional Resource Center including property insurance</t>
  </si>
  <si>
    <t>PL-S: State-Financed Projects Requested in 2011-13 Capital Budget</t>
  </si>
  <si>
    <t>PL-NS: Non-State-Financed Projects Requested in 2011-13 Capital Budget</t>
  </si>
  <si>
    <t>ML: State-Financed Projects Authorized in a Prior Capital Budget</t>
  </si>
  <si>
    <t>PL-S</t>
  </si>
  <si>
    <t>PL-NS</t>
  </si>
  <si>
    <t>Funding</t>
  </si>
  <si>
    <t>SBCTC Request</t>
  </si>
  <si>
    <t>Gov Proposal</t>
  </si>
  <si>
    <t>House Proposal</t>
  </si>
  <si>
    <t>Senate Proposal</t>
  </si>
  <si>
    <t>Conference Budget</t>
  </si>
  <si>
    <t>SBCTC Request Details</t>
  </si>
  <si>
    <t>Type Legend:</t>
  </si>
  <si>
    <t>Preventive Facility Maintenance and Building System Repairs</t>
  </si>
  <si>
    <t>Emergency Repairs</t>
  </si>
  <si>
    <t>State 057</t>
  </si>
  <si>
    <t>SBCTC 057</t>
  </si>
  <si>
    <t>SBCTC 060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</si>
</sst>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8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Fill="1"/>
    <xf numFmtId="0" fontId="0" fillId="0" borderId="0" xfId="0" applyFill="1"/>
    <xf numFmtId="164" fontId="0" fillId="0" borderId="0" xfId="1" applyNumberFormat="1" applyFont="1" applyFill="1"/>
    <xf numFmtId="0" fontId="4" fillId="0" borderId="0" xfId="0" applyFont="1" applyFill="1"/>
    <xf numFmtId="0" fontId="5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164" fontId="0" fillId="0" borderId="3" xfId="1" applyNumberFormat="1" applyFont="1" applyFill="1" applyBorder="1"/>
    <xf numFmtId="164" fontId="0" fillId="0" borderId="4" xfId="0" applyNumberFormat="1" applyFill="1" applyBorder="1"/>
    <xf numFmtId="0" fontId="0" fillId="0" borderId="5" xfId="0" applyFill="1" applyBorder="1"/>
    <xf numFmtId="164" fontId="0" fillId="0" borderId="5" xfId="1" applyNumberFormat="1" applyFont="1" applyFill="1" applyBorder="1"/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0" fontId="3" fillId="0" borderId="0" xfId="0" applyFont="1" applyFill="1"/>
    <xf numFmtId="0" fontId="0" fillId="0" borderId="5" xfId="0" applyFont="1" applyFill="1" applyBorder="1"/>
    <xf numFmtId="164" fontId="0" fillId="0" borderId="4" xfId="0" applyNumberFormat="1" applyFont="1" applyFill="1" applyBorder="1"/>
    <xf numFmtId="0" fontId="0" fillId="0" borderId="0" xfId="0" applyFont="1" applyFill="1"/>
    <xf numFmtId="0" fontId="6" fillId="0" borderId="6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164" fontId="0" fillId="0" borderId="10" xfId="1" applyNumberFormat="1" applyFont="1" applyFill="1" applyBorder="1"/>
    <xf numFmtId="164" fontId="0" fillId="0" borderId="11" xfId="0" applyNumberFormat="1" applyFill="1" applyBorder="1"/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/>
    <xf numFmtId="0" fontId="3" fillId="0" borderId="0" xfId="0" applyFont="1" applyFill="1" applyAlignment="1">
      <alignment horizontal="left"/>
    </xf>
    <xf numFmtId="0" fontId="0" fillId="0" borderId="10" xfId="0" applyFill="1" applyBorder="1" applyAlignment="1">
      <alignment horizontal="center"/>
    </xf>
    <xf numFmtId="164" fontId="0" fillId="0" borderId="12" xfId="1" applyNumberFormat="1" applyFont="1" applyFill="1" applyBorder="1"/>
    <xf numFmtId="164" fontId="0" fillId="0" borderId="12" xfId="0" applyNumberForma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 applyAlignment="1">
      <alignment horizontal="center"/>
    </xf>
    <xf numFmtId="0" fontId="8" fillId="0" borderId="0" xfId="0" applyFont="1"/>
    <xf numFmtId="0" fontId="9" fillId="0" borderId="0" xfId="0" applyFont="1"/>
    <xf numFmtId="41" fontId="9" fillId="0" borderId="0" xfId="0" applyNumberFormat="1" applyFont="1"/>
    <xf numFmtId="0" fontId="10" fillId="0" borderId="0" xfId="0" applyFont="1" applyAlignment="1">
      <alignment horizontal="right"/>
    </xf>
    <xf numFmtId="0" fontId="10" fillId="0" borderId="13" xfId="0" applyFont="1" applyBorder="1" applyAlignment="1">
      <alignment horizontal="right"/>
    </xf>
    <xf numFmtId="41" fontId="10" fillId="0" borderId="13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41" fontId="13" fillId="0" borderId="0" xfId="3" applyNumberFormat="1" applyFont="1" applyFill="1" applyBorder="1" applyAlignment="1">
      <alignment horizontal="right" wrapText="1"/>
    </xf>
    <xf numFmtId="41" fontId="13" fillId="0" borderId="13" xfId="3" applyNumberFormat="1" applyFont="1" applyFill="1" applyBorder="1" applyAlignment="1">
      <alignment horizontal="right" wrapText="1"/>
    </xf>
    <xf numFmtId="41" fontId="13" fillId="0" borderId="0" xfId="3" applyNumberFormat="1" applyFont="1" applyFill="1" applyBorder="1" applyAlignment="1">
      <alignment horizontal="center" wrapText="1"/>
    </xf>
    <xf numFmtId="0" fontId="10" fillId="0" borderId="12" xfId="0" applyFont="1" applyBorder="1" applyAlignment="1">
      <alignment horizontal="left"/>
    </xf>
    <xf numFmtId="165" fontId="10" fillId="0" borderId="12" xfId="0" applyNumberFormat="1" applyFont="1" applyBorder="1"/>
    <xf numFmtId="165" fontId="10" fillId="0" borderId="14" xfId="0" applyNumberFormat="1" applyFont="1" applyBorder="1"/>
    <xf numFmtId="43" fontId="9" fillId="0" borderId="13" xfId="0" applyNumberFormat="1" applyFont="1" applyBorder="1"/>
    <xf numFmtId="43" fontId="9" fillId="0" borderId="0" xfId="0" applyNumberFormat="1" applyFont="1"/>
    <xf numFmtId="0" fontId="14" fillId="0" borderId="0" xfId="3" applyFont="1" applyBorder="1"/>
    <xf numFmtId="0" fontId="14" fillId="0" borderId="0" xfId="3" applyFont="1" applyBorder="1" applyAlignment="1">
      <alignment horizontal="right"/>
    </xf>
    <xf numFmtId="0" fontId="14" fillId="0" borderId="6" xfId="3" applyFont="1" applyBorder="1" applyAlignment="1">
      <alignment horizontal="centerContinuous"/>
    </xf>
    <xf numFmtId="0" fontId="14" fillId="0" borderId="1" xfId="3" applyFont="1" applyBorder="1" applyAlignment="1">
      <alignment horizontal="centerContinuous"/>
    </xf>
    <xf numFmtId="0" fontId="14" fillId="0" borderId="6" xfId="3" applyFont="1" applyBorder="1" applyAlignment="1">
      <alignment horizontal="centerContinuous" wrapText="1"/>
    </xf>
    <xf numFmtId="0" fontId="14" fillId="0" borderId="2" xfId="3" applyFont="1" applyBorder="1" applyAlignment="1">
      <alignment horizontal="centerContinuous" wrapText="1"/>
    </xf>
    <xf numFmtId="0" fontId="14" fillId="0" borderId="6" xfId="3" applyFont="1" applyBorder="1" applyAlignment="1">
      <alignment horizontal="centerContinuous" vertical="top"/>
    </xf>
    <xf numFmtId="0" fontId="14" fillId="0" borderId="1" xfId="3" applyFont="1" applyBorder="1" applyAlignment="1">
      <alignment horizontal="centerContinuous" vertical="top"/>
    </xf>
    <xf numFmtId="0" fontId="14" fillId="0" borderId="2" xfId="3" applyFont="1" applyBorder="1" applyAlignment="1">
      <alignment horizontal="centerContinuous" vertical="top"/>
    </xf>
    <xf numFmtId="41" fontId="15" fillId="0" borderId="0" xfId="3" applyNumberFormat="1" applyFont="1" applyBorder="1" applyAlignment="1">
      <alignment horizontal="centerContinuous"/>
    </xf>
    <xf numFmtId="41" fontId="14" fillId="0" borderId="0" xfId="3" applyNumberFormat="1" applyFont="1" applyBorder="1"/>
    <xf numFmtId="0" fontId="14" fillId="0" borderId="0" xfId="3" quotePrefix="1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41" fontId="14" fillId="0" borderId="0" xfId="3" applyNumberFormat="1" applyFont="1" applyFill="1" applyBorder="1" applyAlignment="1">
      <alignment horizontal="left"/>
    </xf>
    <xf numFmtId="41" fontId="14" fillId="0" borderId="0" xfId="3" applyNumberFormat="1" applyFont="1" applyFill="1" applyBorder="1" applyAlignment="1">
      <alignment horizontal="center" wrapText="1"/>
    </xf>
    <xf numFmtId="164" fontId="14" fillId="0" borderId="0" xfId="3" applyNumberFormat="1" applyFont="1" applyFill="1" applyBorder="1"/>
    <xf numFmtId="0" fontId="14" fillId="0" borderId="0" xfId="3" applyFont="1" applyFill="1" applyBorder="1"/>
    <xf numFmtId="164" fontId="14" fillId="0" borderId="0" xfId="5" applyNumberFormat="1" applyFont="1" applyFill="1" applyBorder="1"/>
    <xf numFmtId="164" fontId="14" fillId="0" borderId="0" xfId="3" applyNumberFormat="1" applyFont="1" applyBorder="1"/>
    <xf numFmtId="164" fontId="14" fillId="0" borderId="0" xfId="5" applyNumberFormat="1" applyFont="1" applyBorder="1"/>
    <xf numFmtId="41" fontId="14" fillId="0" borderId="0" xfId="3" applyNumberFormat="1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64" fontId="0" fillId="0" borderId="13" xfId="1" applyNumberFormat="1" applyFont="1" applyFill="1" applyBorder="1"/>
    <xf numFmtId="164" fontId="0" fillId="0" borderId="16" xfId="1" applyNumberFormat="1" applyFont="1" applyFill="1" applyBorder="1"/>
    <xf numFmtId="164" fontId="0" fillId="0" borderId="14" xfId="1" applyNumberFormat="1" applyFont="1" applyFill="1" applyBorder="1"/>
    <xf numFmtId="164" fontId="0" fillId="0" borderId="22" xfId="1" applyNumberFormat="1" applyFont="1" applyFill="1" applyBorder="1"/>
    <xf numFmtId="164" fontId="0" fillId="0" borderId="14" xfId="0" applyNumberFormat="1" applyFill="1" applyBorder="1"/>
    <xf numFmtId="0" fontId="3" fillId="0" borderId="13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3" fillId="0" borderId="16" xfId="0" applyFont="1" applyFill="1" applyBorder="1"/>
    <xf numFmtId="0" fontId="6" fillId="0" borderId="13" xfId="0" applyFont="1" applyFill="1" applyBorder="1" applyAlignment="1">
      <alignment horizontal="center" vertical="top"/>
    </xf>
    <xf numFmtId="164" fontId="0" fillId="0" borderId="13" xfId="0" applyNumberFormat="1" applyFill="1" applyBorder="1"/>
    <xf numFmtId="0" fontId="0" fillId="0" borderId="0" xfId="0" applyFont="1" applyFill="1" applyBorder="1" applyAlignment="1">
      <alignment horizontal="center"/>
    </xf>
    <xf numFmtId="164" fontId="0" fillId="0" borderId="18" xfId="1" applyNumberFormat="1" applyFont="1" applyFill="1" applyBorder="1"/>
    <xf numFmtId="164" fontId="0" fillId="0" borderId="18" xfId="0" applyNumberFormat="1" applyFill="1" applyBorder="1"/>
    <xf numFmtId="164" fontId="0" fillId="0" borderId="23" xfId="0" applyNumberFormat="1" applyFill="1" applyBorder="1"/>
    <xf numFmtId="0" fontId="3" fillId="0" borderId="2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top"/>
    </xf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164" fontId="0" fillId="0" borderId="9" xfId="1" applyNumberFormat="1" applyFont="1" applyFill="1" applyBorder="1"/>
    <xf numFmtId="164" fontId="0" fillId="0" borderId="24" xfId="1" applyNumberFormat="1" applyFont="1" applyFill="1" applyBorder="1"/>
    <xf numFmtId="164" fontId="0" fillId="0" borderId="24" xfId="0" applyNumberFormat="1" applyFill="1" applyBorder="1"/>
    <xf numFmtId="0" fontId="0" fillId="0" borderId="0" xfId="0" applyFill="1" applyBorder="1" applyAlignment="1">
      <alignment horizontal="right"/>
    </xf>
    <xf numFmtId="9" fontId="0" fillId="0" borderId="0" xfId="2" applyFont="1" applyFill="1" applyBorder="1"/>
    <xf numFmtId="43" fontId="0" fillId="0" borderId="0" xfId="0" applyNumberFormat="1" applyFill="1" applyBorder="1"/>
    <xf numFmtId="164" fontId="3" fillId="0" borderId="0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top"/>
    </xf>
    <xf numFmtId="164" fontId="0" fillId="0" borderId="7" xfId="0" applyNumberFormat="1" applyFill="1" applyBorder="1"/>
    <xf numFmtId="164" fontId="0" fillId="0" borderId="8" xfId="0" applyNumberFormat="1" applyFill="1" applyBorder="1"/>
    <xf numFmtId="164" fontId="0" fillId="0" borderId="8" xfId="0" applyNumberFormat="1" applyFont="1" applyFill="1" applyBorder="1"/>
    <xf numFmtId="164" fontId="0" fillId="0" borderId="9" xfId="0" applyNumberFormat="1" applyFill="1" applyBorder="1"/>
    <xf numFmtId="0" fontId="18" fillId="0" borderId="0" xfId="0" applyFont="1"/>
    <xf numFmtId="0" fontId="15" fillId="0" borderId="19" xfId="3" applyFont="1" applyBorder="1"/>
    <xf numFmtId="0" fontId="15" fillId="0" borderId="26" xfId="3" applyFont="1" applyBorder="1"/>
    <xf numFmtId="0" fontId="15" fillId="0" borderId="26" xfId="3" applyFont="1" applyBorder="1" applyAlignment="1">
      <alignment horizontal="center" wrapText="1"/>
    </xf>
    <xf numFmtId="0" fontId="15" fillId="0" borderId="26" xfId="3" applyFont="1" applyBorder="1" applyAlignment="1">
      <alignment horizontal="left" wrapText="1"/>
    </xf>
    <xf numFmtId="0" fontId="14" fillId="0" borderId="19" xfId="3" applyFont="1" applyBorder="1" applyAlignment="1">
      <alignment horizontal="right" wrapText="1"/>
    </xf>
    <xf numFmtId="0" fontId="14" fillId="0" borderId="26" xfId="3" applyFont="1" applyBorder="1" applyAlignment="1">
      <alignment horizontal="right" wrapText="1"/>
    </xf>
    <xf numFmtId="0" fontId="14" fillId="0" borderId="13" xfId="3" applyFont="1" applyBorder="1" applyAlignment="1">
      <alignment horizontal="center" wrapText="1"/>
    </xf>
    <xf numFmtId="0" fontId="14" fillId="0" borderId="16" xfId="3" applyFont="1" applyBorder="1" applyAlignment="1">
      <alignment horizontal="center" wrapText="1"/>
    </xf>
    <xf numFmtId="0" fontId="15" fillId="0" borderId="28" xfId="3" applyFont="1" applyBorder="1" applyAlignment="1">
      <alignment horizontal="center" wrapText="1"/>
    </xf>
    <xf numFmtId="0" fontId="14" fillId="0" borderId="8" xfId="3" applyFont="1" applyBorder="1"/>
    <xf numFmtId="0" fontId="14" fillId="0" borderId="5" xfId="3" applyFont="1" applyFill="1" applyBorder="1"/>
    <xf numFmtId="0" fontId="14" fillId="0" borderId="5" xfId="3" applyNumberFormat="1" applyFont="1" applyBorder="1" applyAlignment="1">
      <alignment horizontal="center"/>
    </xf>
    <xf numFmtId="49" fontId="14" fillId="0" borderId="5" xfId="3" applyNumberFormat="1" applyFont="1" applyBorder="1" applyAlignment="1">
      <alignment horizontal="left"/>
    </xf>
    <xf numFmtId="37" fontId="14" fillId="0" borderId="8" xfId="3" applyNumberFormat="1" applyFont="1" applyBorder="1" applyAlignment="1">
      <alignment horizontal="right"/>
    </xf>
    <xf numFmtId="37" fontId="14" fillId="0" borderId="5" xfId="3" applyNumberFormat="1" applyFont="1" applyBorder="1" applyAlignment="1">
      <alignment horizontal="right"/>
    </xf>
    <xf numFmtId="37" fontId="14" fillId="0" borderId="4" xfId="3" applyNumberFormat="1" applyFont="1" applyBorder="1" applyAlignment="1">
      <alignment horizontal="right"/>
    </xf>
    <xf numFmtId="166" fontId="14" fillId="0" borderId="5" xfId="3" applyNumberFormat="1" applyFont="1" applyBorder="1" applyAlignment="1">
      <alignment horizontal="right"/>
    </xf>
    <xf numFmtId="9" fontId="14" fillId="0" borderId="8" xfId="2" applyFont="1" applyBorder="1" applyAlignment="1"/>
    <xf numFmtId="9" fontId="14" fillId="0" borderId="4" xfId="2" applyFont="1" applyBorder="1" applyAlignment="1"/>
    <xf numFmtId="41" fontId="14" fillId="0" borderId="8" xfId="3" applyNumberFormat="1" applyFont="1" applyBorder="1" applyAlignment="1">
      <alignment horizontal="right" wrapText="1"/>
    </xf>
    <xf numFmtId="41" fontId="14" fillId="0" borderId="4" xfId="3" applyNumberFormat="1" applyFont="1" applyBorder="1" applyAlignment="1">
      <alignment horizontal="right" wrapText="1"/>
    </xf>
    <xf numFmtId="41" fontId="15" fillId="0" borderId="29" xfId="5" applyNumberFormat="1" applyFont="1" applyFill="1" applyBorder="1" applyAlignment="1">
      <alignment horizontal="right"/>
    </xf>
    <xf numFmtId="41" fontId="14" fillId="0" borderId="5" xfId="3" applyNumberFormat="1" applyFont="1" applyFill="1" applyBorder="1" applyAlignment="1">
      <alignment horizontal="left"/>
    </xf>
    <xf numFmtId="41" fontId="14" fillId="0" borderId="5" xfId="3" applyNumberFormat="1" applyFont="1" applyFill="1" applyBorder="1" applyAlignment="1">
      <alignment horizontal="center" wrapText="1"/>
    </xf>
    <xf numFmtId="0" fontId="14" fillId="0" borderId="5" xfId="3" applyFont="1" applyBorder="1"/>
    <xf numFmtId="0" fontId="14" fillId="0" borderId="5" xfId="3" applyFont="1" applyFill="1" applyBorder="1" applyAlignment="1">
      <alignment horizontal="center"/>
    </xf>
    <xf numFmtId="0" fontId="14" fillId="0" borderId="5" xfId="3" applyFont="1" applyFill="1" applyBorder="1" applyAlignment="1">
      <alignment horizontal="left"/>
    </xf>
    <xf numFmtId="9" fontId="14" fillId="0" borderId="8" xfId="3" applyNumberFormat="1" applyFont="1" applyBorder="1" applyAlignment="1">
      <alignment horizontal="right"/>
    </xf>
    <xf numFmtId="9" fontId="14" fillId="0" borderId="4" xfId="3" applyNumberFormat="1" applyFont="1" applyBorder="1" applyAlignment="1">
      <alignment horizontal="right"/>
    </xf>
    <xf numFmtId="41" fontId="15" fillId="0" borderId="29" xfId="5" applyNumberFormat="1" applyFont="1" applyBorder="1" applyAlignment="1">
      <alignment horizontal="right"/>
    </xf>
    <xf numFmtId="49" fontId="14" fillId="0" borderId="5" xfId="3" applyNumberFormat="1" applyFont="1" applyBorder="1" applyAlignment="1">
      <alignment horizontal="center"/>
    </xf>
    <xf numFmtId="37" fontId="14" fillId="0" borderId="8" xfId="4" applyNumberFormat="1" applyFont="1" applyBorder="1" applyAlignment="1">
      <alignment horizontal="right"/>
    </xf>
    <xf numFmtId="37" fontId="14" fillId="0" borderId="5" xfId="4" applyNumberFormat="1" applyFont="1" applyBorder="1" applyAlignment="1">
      <alignment horizontal="right"/>
    </xf>
    <xf numFmtId="37" fontId="14" fillId="0" borderId="4" xfId="4" applyNumberFormat="1" applyFont="1" applyBorder="1" applyAlignment="1">
      <alignment horizontal="right"/>
    </xf>
    <xf numFmtId="166" fontId="14" fillId="0" borderId="5" xfId="4" applyNumberFormat="1" applyFont="1" applyBorder="1" applyAlignment="1">
      <alignment horizontal="right"/>
    </xf>
    <xf numFmtId="0" fontId="14" fillId="0" borderId="8" xfId="3" applyFont="1" applyFill="1" applyBorder="1"/>
    <xf numFmtId="49" fontId="14" fillId="0" borderId="5" xfId="3" applyNumberFormat="1" applyFont="1" applyFill="1" applyBorder="1" applyAlignment="1">
      <alignment horizontal="center"/>
    </xf>
    <xf numFmtId="49" fontId="14" fillId="0" borderId="5" xfId="3" applyNumberFormat="1" applyFont="1" applyFill="1" applyBorder="1" applyAlignment="1">
      <alignment horizontal="left"/>
    </xf>
    <xf numFmtId="37" fontId="14" fillId="0" borderId="8" xfId="3" applyNumberFormat="1" applyFont="1" applyFill="1" applyBorder="1" applyAlignment="1">
      <alignment horizontal="right"/>
    </xf>
    <xf numFmtId="37" fontId="14" fillId="0" borderId="5" xfId="3" applyNumberFormat="1" applyFont="1" applyFill="1" applyBorder="1" applyAlignment="1">
      <alignment horizontal="right"/>
    </xf>
    <xf numFmtId="37" fontId="14" fillId="0" borderId="4" xfId="3" applyNumberFormat="1" applyFont="1" applyFill="1" applyBorder="1" applyAlignment="1">
      <alignment horizontal="right"/>
    </xf>
    <xf numFmtId="166" fontId="14" fillId="0" borderId="5" xfId="3" applyNumberFormat="1" applyFont="1" applyFill="1" applyBorder="1" applyAlignment="1">
      <alignment horizontal="right"/>
    </xf>
    <xf numFmtId="9" fontId="14" fillId="0" borderId="8" xfId="2" applyFont="1" applyFill="1" applyBorder="1" applyAlignment="1"/>
    <xf numFmtId="9" fontId="14" fillId="0" borderId="4" xfId="2" applyFont="1" applyFill="1" applyBorder="1" applyAlignment="1"/>
    <xf numFmtId="41" fontId="14" fillId="0" borderId="8" xfId="3" applyNumberFormat="1" applyFont="1" applyFill="1" applyBorder="1" applyAlignment="1">
      <alignment horizontal="right" wrapText="1"/>
    </xf>
    <xf numFmtId="41" fontId="14" fillId="0" borderId="4" xfId="3" applyNumberFormat="1" applyFont="1" applyFill="1" applyBorder="1" applyAlignment="1">
      <alignment horizontal="right" wrapText="1"/>
    </xf>
    <xf numFmtId="9" fontId="14" fillId="0" borderId="8" xfId="3" applyNumberFormat="1" applyFont="1" applyFill="1" applyBorder="1" applyAlignment="1">
      <alignment horizontal="right"/>
    </xf>
    <xf numFmtId="9" fontId="14" fillId="0" borderId="4" xfId="3" applyNumberFormat="1" applyFont="1" applyFill="1" applyBorder="1" applyAlignment="1">
      <alignment horizontal="right"/>
    </xf>
    <xf numFmtId="37" fontId="14" fillId="0" borderId="8" xfId="4" applyNumberFormat="1" applyFont="1" applyFill="1" applyBorder="1" applyAlignment="1">
      <alignment horizontal="right"/>
    </xf>
    <xf numFmtId="37" fontId="14" fillId="0" borderId="5" xfId="4" applyNumberFormat="1" applyFont="1" applyFill="1" applyBorder="1" applyAlignment="1">
      <alignment horizontal="right"/>
    </xf>
    <xf numFmtId="37" fontId="14" fillId="0" borderId="4" xfId="4" applyNumberFormat="1" applyFont="1" applyFill="1" applyBorder="1" applyAlignment="1">
      <alignment horizontal="right"/>
    </xf>
    <xf numFmtId="166" fontId="14" fillId="0" borderId="5" xfId="4" applyNumberFormat="1" applyFont="1" applyFill="1" applyBorder="1" applyAlignment="1">
      <alignment horizontal="right"/>
    </xf>
    <xf numFmtId="49" fontId="14" fillId="0" borderId="5" xfId="3" applyNumberFormat="1" applyFont="1" applyBorder="1" applyAlignment="1">
      <alignment horizontal="center" wrapText="1"/>
    </xf>
    <xf numFmtId="49" fontId="14" fillId="0" borderId="5" xfId="3" applyNumberFormat="1" applyFont="1" applyBorder="1" applyAlignment="1">
      <alignment horizontal="left" wrapText="1"/>
    </xf>
    <xf numFmtId="166" fontId="14" fillId="0" borderId="5" xfId="3" applyNumberFormat="1" applyFont="1" applyBorder="1" applyAlignment="1">
      <alignment horizontal="right" wrapText="1"/>
    </xf>
    <xf numFmtId="9" fontId="14" fillId="0" borderId="8" xfId="2" applyFont="1" applyBorder="1" applyAlignment="1">
      <alignment wrapText="1"/>
    </xf>
    <xf numFmtId="9" fontId="14" fillId="0" borderId="4" xfId="2" applyFont="1" applyBorder="1" applyAlignment="1">
      <alignment wrapText="1"/>
    </xf>
    <xf numFmtId="41" fontId="15" fillId="0" borderId="29" xfId="3" applyNumberFormat="1" applyFont="1" applyBorder="1" applyAlignment="1">
      <alignment horizontal="right" wrapText="1"/>
    </xf>
    <xf numFmtId="0" fontId="14" fillId="0" borderId="5" xfId="3" applyFont="1" applyBorder="1" applyAlignment="1">
      <alignment horizontal="left"/>
    </xf>
    <xf numFmtId="166" fontId="14" fillId="0" borderId="29" xfId="3" applyNumberFormat="1" applyFont="1" applyBorder="1" applyAlignment="1">
      <alignment horizontal="right"/>
    </xf>
    <xf numFmtId="9" fontId="14" fillId="0" borderId="8" xfId="5" applyNumberFormat="1" applyFont="1" applyFill="1" applyBorder="1" applyAlignment="1">
      <alignment horizontal="right"/>
    </xf>
    <xf numFmtId="9" fontId="14" fillId="0" borderId="4" xfId="5" applyNumberFormat="1" applyFont="1" applyFill="1" applyBorder="1" applyAlignment="1">
      <alignment horizontal="right"/>
    </xf>
    <xf numFmtId="0" fontId="14" fillId="0" borderId="5" xfId="3" applyFon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/>
    </xf>
    <xf numFmtId="0" fontId="14" fillId="0" borderId="15" xfId="3" applyFont="1" applyBorder="1" applyAlignment="1">
      <alignment horizontal="center" wrapText="1"/>
    </xf>
    <xf numFmtId="0" fontId="14" fillId="0" borderId="17" xfId="3" applyFont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0" borderId="30" xfId="0" applyFill="1" applyBorder="1"/>
    <xf numFmtId="164" fontId="0" fillId="0" borderId="30" xfId="1" applyNumberFormat="1" applyFont="1" applyFill="1" applyBorder="1"/>
    <xf numFmtId="164" fontId="0" fillId="0" borderId="31" xfId="1" applyNumberFormat="1" applyFont="1" applyFill="1" applyBorder="1"/>
    <xf numFmtId="164" fontId="0" fillId="0" borderId="32" xfId="0" applyNumberFormat="1" applyFill="1" applyBorder="1"/>
    <xf numFmtId="164" fontId="0" fillId="0" borderId="31" xfId="0" applyNumberFormat="1" applyFill="1" applyBorder="1"/>
    <xf numFmtId="0" fontId="19" fillId="0" borderId="0" xfId="0" applyFont="1" applyFill="1"/>
    <xf numFmtId="164" fontId="19" fillId="0" borderId="0" xfId="1" applyNumberFormat="1" applyFont="1" applyFill="1" applyBorder="1"/>
    <xf numFmtId="0" fontId="20" fillId="0" borderId="25" xfId="0" applyFont="1" applyFill="1" applyBorder="1" applyAlignment="1">
      <alignment horizontal="center"/>
    </xf>
    <xf numFmtId="164" fontId="19" fillId="0" borderId="4" xfId="0" applyNumberFormat="1" applyFont="1" applyFill="1" applyBorder="1"/>
    <xf numFmtId="164" fontId="19" fillId="0" borderId="32" xfId="0" applyNumberFormat="1" applyFont="1" applyFill="1" applyBorder="1"/>
    <xf numFmtId="164" fontId="19" fillId="0" borderId="11" xfId="0" applyNumberFormat="1" applyFont="1" applyFill="1" applyBorder="1"/>
    <xf numFmtId="164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23" xfId="0" applyNumberFormat="1" applyFont="1" applyFill="1" applyBorder="1"/>
    <xf numFmtId="0" fontId="0" fillId="0" borderId="0" xfId="0" quotePrefix="1" applyNumberFormat="1" applyFill="1" applyBorder="1"/>
    <xf numFmtId="164" fontId="19" fillId="0" borderId="12" xfId="1" applyNumberFormat="1" applyFont="1" applyFill="1" applyBorder="1"/>
    <xf numFmtId="168" fontId="0" fillId="0" borderId="0" xfId="2" applyNumberFormat="1" applyFont="1" applyFill="1" applyBorder="1"/>
    <xf numFmtId="0" fontId="0" fillId="0" borderId="0" xfId="0" quotePrefix="1" applyNumberFormat="1" applyFill="1" applyBorder="1" applyAlignment="1">
      <alignment horizontal="right"/>
    </xf>
  </cellXfs>
  <cellStyles count="6">
    <cellStyle name="Comma" xfId="1" builtinId="3"/>
    <cellStyle name="Comma 7" xfId="5"/>
    <cellStyle name="Normal" xfId="0" builtinId="0"/>
    <cellStyle name="Normal 7" xfId="3"/>
    <cellStyle name="Percent" xfId="2" builtinId="5"/>
    <cellStyle name="Percent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9"/>
  <sheetViews>
    <sheetView tabSelected="1" topLeftCell="A3" zoomScaleNormal="100" workbookViewId="0">
      <selection activeCell="D26" sqref="D26"/>
    </sheetView>
  </sheetViews>
  <sheetFormatPr defaultColWidth="9.140625" defaultRowHeight="15"/>
  <cols>
    <col min="1" max="1" width="9.140625" style="2"/>
    <col min="2" max="2" width="7.7109375" style="2" customWidth="1"/>
    <col min="3" max="3" width="26.28515625" style="2" bestFit="1" customWidth="1"/>
    <col min="4" max="4" width="22" style="2" bestFit="1" customWidth="1"/>
    <col min="5" max="5" width="18.42578125" style="2" bestFit="1" customWidth="1"/>
    <col min="6" max="6" width="10" style="2" bestFit="1" customWidth="1"/>
    <col min="7" max="7" width="35.7109375" style="2" customWidth="1"/>
    <col min="8" max="11" width="12.7109375" style="2" hidden="1" customWidth="1"/>
    <col min="12" max="12" width="11.7109375" style="3" customWidth="1"/>
    <col min="13" max="13" width="11.7109375" style="192" customWidth="1"/>
    <col min="14" max="14" width="11.7109375" style="2" customWidth="1"/>
    <col min="15" max="15" width="11.7109375" style="192" customWidth="1"/>
    <col min="16" max="20" width="11.7109375" style="2" customWidth="1"/>
    <col min="21" max="21" width="11.7109375" style="38" customWidth="1"/>
    <col min="22" max="22" width="9.140625" style="15" customWidth="1"/>
    <col min="23" max="23" width="12.5703125" style="2" customWidth="1"/>
    <col min="24" max="30" width="12.7109375" style="2" customWidth="1"/>
    <col min="31" max="31" width="13.5703125" style="2" bestFit="1" customWidth="1"/>
    <col min="32" max="32" width="11.140625" style="2" bestFit="1" customWidth="1"/>
    <col min="33" max="33" width="11.140625" style="3" bestFit="1" customWidth="1"/>
    <col min="34" max="34" width="12.5703125" style="3" bestFit="1" customWidth="1"/>
    <col min="35" max="35" width="11" style="2" bestFit="1" customWidth="1"/>
    <col min="36" max="16384" width="9.140625" style="2"/>
  </cols>
  <sheetData>
    <row r="1" spans="1:35">
      <c r="B1" s="1"/>
    </row>
    <row r="2" spans="1:35">
      <c r="B2" s="1"/>
    </row>
    <row r="3" spans="1:35">
      <c r="B3" s="1"/>
    </row>
    <row r="4" spans="1:35">
      <c r="B4" s="4" t="s">
        <v>125</v>
      </c>
    </row>
    <row r="5" spans="1:35" ht="15.75">
      <c r="B5" s="2" t="s">
        <v>88</v>
      </c>
      <c r="H5" s="5"/>
      <c r="I5" s="6"/>
      <c r="J5" s="6"/>
      <c r="K5" s="6"/>
      <c r="L5" s="7"/>
      <c r="M5" s="193"/>
      <c r="N5" s="16"/>
      <c r="O5" s="193"/>
      <c r="P5" s="16"/>
      <c r="Q5" s="16"/>
      <c r="R5" s="16"/>
      <c r="S5" s="16"/>
      <c r="T5" s="16"/>
      <c r="U5" s="15"/>
      <c r="W5" s="175" t="s">
        <v>236</v>
      </c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>
      <c r="C6" s="1"/>
      <c r="D6" s="1"/>
      <c r="H6" s="6"/>
      <c r="I6" s="6"/>
      <c r="J6" s="6"/>
      <c r="K6" s="6"/>
      <c r="L6" s="179" t="s">
        <v>231</v>
      </c>
      <c r="M6" s="180"/>
      <c r="N6" s="181" t="s">
        <v>232</v>
      </c>
      <c r="O6" s="182"/>
      <c r="P6" s="181" t="s">
        <v>233</v>
      </c>
      <c r="Q6" s="182"/>
      <c r="R6" s="181" t="s">
        <v>234</v>
      </c>
      <c r="S6" s="182"/>
      <c r="T6" s="183" t="s">
        <v>235</v>
      </c>
      <c r="U6" s="182"/>
      <c r="V6" s="105"/>
      <c r="W6" s="176" t="s">
        <v>230</v>
      </c>
      <c r="X6" s="177"/>
      <c r="Y6" s="177"/>
      <c r="Z6" s="177"/>
      <c r="AA6" s="178"/>
      <c r="AB6" s="176" t="s">
        <v>144</v>
      </c>
      <c r="AC6" s="177"/>
      <c r="AD6" s="178"/>
      <c r="AE6" s="176" t="s">
        <v>139</v>
      </c>
      <c r="AF6" s="177"/>
      <c r="AG6" s="177"/>
      <c r="AH6" s="177"/>
      <c r="AI6" s="178"/>
    </row>
    <row r="7" spans="1:35">
      <c r="A7" s="18"/>
      <c r="B7" s="22" t="s">
        <v>89</v>
      </c>
      <c r="C7" s="8" t="s">
        <v>0</v>
      </c>
      <c r="D7" s="8" t="s">
        <v>83</v>
      </c>
      <c r="E7" s="8" t="s">
        <v>1</v>
      </c>
      <c r="F7" s="8" t="s">
        <v>124</v>
      </c>
      <c r="G7" s="8" t="s">
        <v>2</v>
      </c>
      <c r="H7" s="8" t="s">
        <v>3</v>
      </c>
      <c r="I7" s="8" t="s">
        <v>4</v>
      </c>
      <c r="J7" s="8" t="s">
        <v>5</v>
      </c>
      <c r="K7" s="8" t="s">
        <v>6</v>
      </c>
      <c r="L7" s="96" t="s">
        <v>130</v>
      </c>
      <c r="M7" s="194" t="s">
        <v>8</v>
      </c>
      <c r="N7" s="8" t="s">
        <v>130</v>
      </c>
      <c r="O7" s="194" t="s">
        <v>8</v>
      </c>
      <c r="P7" s="8" t="s">
        <v>130</v>
      </c>
      <c r="Q7" s="95" t="s">
        <v>8</v>
      </c>
      <c r="R7" s="96" t="s">
        <v>130</v>
      </c>
      <c r="S7" s="95" t="s">
        <v>8</v>
      </c>
      <c r="T7" s="106" t="s">
        <v>130</v>
      </c>
      <c r="U7" s="95" t="s">
        <v>8</v>
      </c>
      <c r="V7" s="77"/>
      <c r="W7" s="89" t="s">
        <v>7</v>
      </c>
      <c r="X7" s="29">
        <v>60</v>
      </c>
      <c r="Y7" s="77">
        <v>57</v>
      </c>
      <c r="Z7" s="77" t="s">
        <v>92</v>
      </c>
      <c r="AA7" s="78" t="s">
        <v>93</v>
      </c>
      <c r="AB7" s="76" t="s">
        <v>141</v>
      </c>
      <c r="AC7" s="77" t="s">
        <v>142</v>
      </c>
      <c r="AD7" s="78" t="s">
        <v>143</v>
      </c>
      <c r="AE7" s="84" t="s">
        <v>135</v>
      </c>
      <c r="AF7" s="85" t="s">
        <v>136</v>
      </c>
      <c r="AG7" s="86" t="s">
        <v>137</v>
      </c>
      <c r="AH7" s="87" t="s">
        <v>138</v>
      </c>
      <c r="AI7" s="88" t="s">
        <v>140</v>
      </c>
    </row>
    <row r="8" spans="1:35">
      <c r="B8" s="23">
        <v>1</v>
      </c>
      <c r="C8" s="10" t="s">
        <v>9</v>
      </c>
      <c r="D8" s="10" t="s">
        <v>10</v>
      </c>
      <c r="E8" s="10" t="s">
        <v>10</v>
      </c>
      <c r="F8" s="9">
        <v>30000461</v>
      </c>
      <c r="G8" s="10" t="s">
        <v>11</v>
      </c>
      <c r="H8" s="11"/>
      <c r="I8" s="11"/>
      <c r="J8" s="11"/>
      <c r="K8" s="11"/>
      <c r="L8" s="97">
        <f>SUM(X8:Y8)</f>
        <v>16000000</v>
      </c>
      <c r="M8" s="195">
        <f>SUM(L$8:L8)</f>
        <v>16000000</v>
      </c>
      <c r="N8" s="11">
        <v>16001000</v>
      </c>
      <c r="O8" s="200">
        <f>SUM(N$8:N8)</f>
        <v>16001000</v>
      </c>
      <c r="P8" s="11"/>
      <c r="Q8" s="94"/>
      <c r="R8" s="107"/>
      <c r="S8" s="94"/>
      <c r="T8" s="11"/>
      <c r="U8" s="94"/>
      <c r="W8" s="90">
        <f>SUM(X8:AA8)</f>
        <v>16000000</v>
      </c>
      <c r="X8" s="16">
        <v>16000000</v>
      </c>
      <c r="Y8" s="16"/>
      <c r="Z8" s="16"/>
      <c r="AA8" s="80"/>
      <c r="AB8" s="79">
        <v>0</v>
      </c>
      <c r="AC8" s="16">
        <v>0</v>
      </c>
      <c r="AD8" s="80">
        <v>0</v>
      </c>
      <c r="AE8" s="79">
        <v>0</v>
      </c>
      <c r="AF8" s="16">
        <v>0</v>
      </c>
      <c r="AG8" s="16">
        <v>0</v>
      </c>
      <c r="AH8" s="16">
        <v>0</v>
      </c>
      <c r="AI8" s="80">
        <v>0</v>
      </c>
    </row>
    <row r="9" spans="1:35">
      <c r="B9" s="24">
        <v>2</v>
      </c>
      <c r="C9" s="13" t="s">
        <v>12</v>
      </c>
      <c r="D9" s="10" t="s">
        <v>10</v>
      </c>
      <c r="E9" s="13" t="s">
        <v>10</v>
      </c>
      <c r="F9" s="9">
        <v>30000434</v>
      </c>
      <c r="G9" s="13" t="s">
        <v>13</v>
      </c>
      <c r="H9" s="14"/>
      <c r="I9" s="14"/>
      <c r="J9" s="14"/>
      <c r="K9" s="14"/>
      <c r="L9" s="98">
        <f t="shared" ref="L9:L41" si="0">SUM(X9:Y9)</f>
        <v>9125291</v>
      </c>
      <c r="M9" s="195">
        <f>SUM(L$8:L9)</f>
        <v>25125291</v>
      </c>
      <c r="N9" s="14">
        <v>9125000</v>
      </c>
      <c r="O9" s="195">
        <f>SUM(N$8:N9)</f>
        <v>25126000</v>
      </c>
      <c r="P9" s="14"/>
      <c r="Q9" s="12"/>
      <c r="R9" s="108"/>
      <c r="S9" s="12"/>
      <c r="T9" s="14"/>
      <c r="U9" s="12"/>
      <c r="W9" s="90">
        <f t="shared" ref="W9:W41" si="1">SUM(X9:AA9)</f>
        <v>9125291</v>
      </c>
      <c r="X9" s="16">
        <v>9125291</v>
      </c>
      <c r="Y9" s="16"/>
      <c r="Z9" s="16"/>
      <c r="AA9" s="80"/>
      <c r="AB9" s="79">
        <v>0</v>
      </c>
      <c r="AC9" s="16">
        <v>0</v>
      </c>
      <c r="AD9" s="80">
        <v>0</v>
      </c>
      <c r="AE9" s="79">
        <v>0</v>
      </c>
      <c r="AF9" s="16">
        <v>0</v>
      </c>
      <c r="AG9" s="16">
        <v>0</v>
      </c>
      <c r="AH9" s="16">
        <v>0</v>
      </c>
      <c r="AI9" s="80">
        <v>0</v>
      </c>
    </row>
    <row r="10" spans="1:35">
      <c r="B10" s="23">
        <v>3</v>
      </c>
      <c r="C10" s="13" t="s">
        <v>14</v>
      </c>
      <c r="D10" s="10" t="s">
        <v>10</v>
      </c>
      <c r="E10" s="13" t="s">
        <v>10</v>
      </c>
      <c r="F10" s="9">
        <v>30000505</v>
      </c>
      <c r="G10" s="13" t="s">
        <v>15</v>
      </c>
      <c r="H10" s="14"/>
      <c r="I10" s="14"/>
      <c r="J10" s="14"/>
      <c r="K10" s="14"/>
      <c r="L10" s="98">
        <f t="shared" si="0"/>
        <v>15828821</v>
      </c>
      <c r="M10" s="195">
        <f>SUM(L$8:L10)</f>
        <v>40954112</v>
      </c>
      <c r="N10" s="14">
        <v>15829000</v>
      </c>
      <c r="O10" s="195">
        <f>SUM(N$8:N10)</f>
        <v>40955000</v>
      </c>
      <c r="P10" s="14"/>
      <c r="Q10" s="12"/>
      <c r="R10" s="108"/>
      <c r="S10" s="12"/>
      <c r="T10" s="14"/>
      <c r="U10" s="12"/>
      <c r="W10" s="90">
        <f t="shared" si="1"/>
        <v>15828821</v>
      </c>
      <c r="X10" s="16">
        <v>15828821</v>
      </c>
      <c r="Y10" s="16"/>
      <c r="Z10" s="16"/>
      <c r="AA10" s="80"/>
      <c r="AB10" s="79">
        <v>0</v>
      </c>
      <c r="AC10" s="16">
        <v>0</v>
      </c>
      <c r="AD10" s="80">
        <v>0</v>
      </c>
      <c r="AE10" s="79">
        <v>0</v>
      </c>
      <c r="AF10" s="16">
        <v>0</v>
      </c>
      <c r="AG10" s="16">
        <v>0</v>
      </c>
      <c r="AH10" s="16">
        <v>0</v>
      </c>
      <c r="AI10" s="80">
        <v>0</v>
      </c>
    </row>
    <row r="11" spans="1:35">
      <c r="B11" s="24">
        <v>4</v>
      </c>
      <c r="C11" s="13" t="s">
        <v>16</v>
      </c>
      <c r="D11" s="10" t="s">
        <v>10</v>
      </c>
      <c r="E11" s="13" t="s">
        <v>10</v>
      </c>
      <c r="F11" s="9">
        <v>30000504</v>
      </c>
      <c r="G11" s="13" t="s">
        <v>17</v>
      </c>
      <c r="H11" s="14"/>
      <c r="I11" s="14"/>
      <c r="J11" s="14"/>
      <c r="K11" s="14"/>
      <c r="L11" s="98">
        <f t="shared" si="0"/>
        <v>5045888</v>
      </c>
      <c r="M11" s="195">
        <f>SUM(L$8:L11)</f>
        <v>46000000</v>
      </c>
      <c r="N11" s="14">
        <v>5045000</v>
      </c>
      <c r="O11" s="195">
        <f>SUM(N$8:N11)</f>
        <v>46000000</v>
      </c>
      <c r="P11" s="14"/>
      <c r="Q11" s="12"/>
      <c r="R11" s="108"/>
      <c r="S11" s="12"/>
      <c r="T11" s="14"/>
      <c r="U11" s="12"/>
      <c r="W11" s="90">
        <f t="shared" si="1"/>
        <v>5045888</v>
      </c>
      <c r="X11" s="16">
        <v>5045888</v>
      </c>
      <c r="Y11" s="16"/>
      <c r="Z11" s="16"/>
      <c r="AA11" s="80"/>
      <c r="AB11" s="79">
        <v>0</v>
      </c>
      <c r="AC11" s="16">
        <v>0</v>
      </c>
      <c r="AD11" s="80">
        <v>0</v>
      </c>
      <c r="AE11" s="79">
        <v>0</v>
      </c>
      <c r="AF11" s="16">
        <v>0</v>
      </c>
      <c r="AG11" s="16">
        <v>0</v>
      </c>
      <c r="AH11" s="16">
        <v>0</v>
      </c>
      <c r="AI11" s="80">
        <v>0</v>
      </c>
    </row>
    <row r="12" spans="1:35">
      <c r="B12" s="23">
        <v>5</v>
      </c>
      <c r="C12" s="13" t="s">
        <v>18</v>
      </c>
      <c r="D12" s="13" t="s">
        <v>18</v>
      </c>
      <c r="E12" s="13" t="s">
        <v>19</v>
      </c>
      <c r="F12" s="9">
        <v>30000114</v>
      </c>
      <c r="G12" s="13" t="s">
        <v>20</v>
      </c>
      <c r="H12" s="14"/>
      <c r="I12" s="14"/>
      <c r="J12" s="14"/>
      <c r="K12" s="14"/>
      <c r="L12" s="98">
        <f t="shared" si="0"/>
        <v>2000000</v>
      </c>
      <c r="M12" s="195">
        <f>SUM(L$8:L12)</f>
        <v>48000000</v>
      </c>
      <c r="N12" s="14"/>
      <c r="O12" s="195">
        <f>SUM(N$8:N12)</f>
        <v>46000000</v>
      </c>
      <c r="P12" s="14"/>
      <c r="Q12" s="12"/>
      <c r="R12" s="108"/>
      <c r="S12" s="12"/>
      <c r="T12" s="14"/>
      <c r="U12" s="12"/>
      <c r="W12" s="90">
        <f t="shared" si="1"/>
        <v>4020000</v>
      </c>
      <c r="X12" s="16"/>
      <c r="Y12" s="16">
        <v>2000000</v>
      </c>
      <c r="Z12" s="16">
        <v>2020000</v>
      </c>
      <c r="AA12" s="80"/>
      <c r="AB12" s="79">
        <v>0</v>
      </c>
      <c r="AC12" s="16">
        <v>8500</v>
      </c>
      <c r="AD12" s="80">
        <v>0</v>
      </c>
      <c r="AE12" s="79">
        <v>0</v>
      </c>
      <c r="AF12" s="16">
        <f>56720+62000</f>
        <v>118720</v>
      </c>
      <c r="AG12" s="16">
        <f>62000*2</f>
        <v>124000</v>
      </c>
      <c r="AH12" s="16">
        <f>62000*2</f>
        <v>124000</v>
      </c>
      <c r="AI12" s="80">
        <f>62000*2</f>
        <v>124000</v>
      </c>
    </row>
    <row r="13" spans="1:35">
      <c r="B13" s="24">
        <v>6</v>
      </c>
      <c r="C13" s="13" t="s">
        <v>18</v>
      </c>
      <c r="D13" s="13" t="s">
        <v>18</v>
      </c>
      <c r="E13" s="13" t="s">
        <v>21</v>
      </c>
      <c r="F13" s="9">
        <v>30000116</v>
      </c>
      <c r="G13" s="13" t="s">
        <v>22</v>
      </c>
      <c r="H13" s="14"/>
      <c r="I13" s="14"/>
      <c r="J13" s="14"/>
      <c r="K13" s="14"/>
      <c r="L13" s="98">
        <f t="shared" si="0"/>
        <v>758000</v>
      </c>
      <c r="M13" s="195">
        <f>SUM(L$8:L13)</f>
        <v>48758000</v>
      </c>
      <c r="N13" s="14"/>
      <c r="O13" s="195">
        <f>SUM(N$8:N13)</f>
        <v>46000000</v>
      </c>
      <c r="P13" s="14"/>
      <c r="Q13" s="12"/>
      <c r="R13" s="108"/>
      <c r="S13" s="12"/>
      <c r="T13" s="14"/>
      <c r="U13" s="12"/>
      <c r="W13" s="90">
        <f t="shared" si="1"/>
        <v>1517000</v>
      </c>
      <c r="X13" s="16"/>
      <c r="Y13" s="16">
        <v>758000</v>
      </c>
      <c r="Z13" s="16">
        <v>759000</v>
      </c>
      <c r="AA13" s="80"/>
      <c r="AB13" s="79">
        <v>0</v>
      </c>
      <c r="AC13" s="16">
        <v>0</v>
      </c>
      <c r="AD13" s="80">
        <v>0</v>
      </c>
      <c r="AE13" s="79">
        <v>0</v>
      </c>
      <c r="AF13" s="16">
        <v>0</v>
      </c>
      <c r="AG13" s="16">
        <v>0</v>
      </c>
      <c r="AH13" s="16">
        <v>0</v>
      </c>
      <c r="AI13" s="80">
        <v>0</v>
      </c>
    </row>
    <row r="14" spans="1:35">
      <c r="B14" s="23">
        <v>7</v>
      </c>
      <c r="C14" s="13" t="s">
        <v>18</v>
      </c>
      <c r="D14" s="13" t="s">
        <v>18</v>
      </c>
      <c r="E14" s="13" t="s">
        <v>23</v>
      </c>
      <c r="F14" s="9">
        <v>30000118</v>
      </c>
      <c r="G14" s="13" t="s">
        <v>24</v>
      </c>
      <c r="H14" s="14"/>
      <c r="I14" s="14"/>
      <c r="J14" s="14"/>
      <c r="K14" s="14"/>
      <c r="L14" s="98">
        <f t="shared" si="0"/>
        <v>2000000</v>
      </c>
      <c r="M14" s="195">
        <f>SUM(L$8:L14)</f>
        <v>50758000</v>
      </c>
      <c r="N14" s="14"/>
      <c r="O14" s="195">
        <f>SUM(N$8:N14)</f>
        <v>46000000</v>
      </c>
      <c r="P14" s="14"/>
      <c r="Q14" s="12"/>
      <c r="R14" s="108"/>
      <c r="S14" s="12"/>
      <c r="T14" s="14"/>
      <c r="U14" s="12"/>
      <c r="W14" s="90">
        <f t="shared" si="1"/>
        <v>5428000</v>
      </c>
      <c r="X14" s="16"/>
      <c r="Y14" s="16">
        <v>2000000</v>
      </c>
      <c r="Z14" s="16">
        <v>3428000</v>
      </c>
      <c r="AA14" s="80"/>
      <c r="AB14" s="79">
        <v>0</v>
      </c>
      <c r="AC14" s="16">
        <v>0</v>
      </c>
      <c r="AD14" s="80">
        <v>0</v>
      </c>
      <c r="AE14" s="79">
        <v>0</v>
      </c>
      <c r="AF14" s="16">
        <v>0</v>
      </c>
      <c r="AG14" s="16">
        <v>0</v>
      </c>
      <c r="AH14" s="16">
        <v>0</v>
      </c>
      <c r="AI14" s="80">
        <v>0</v>
      </c>
    </row>
    <row r="15" spans="1:35">
      <c r="B15" s="24">
        <v>8</v>
      </c>
      <c r="C15" s="13" t="s">
        <v>25</v>
      </c>
      <c r="D15" s="10" t="s">
        <v>10</v>
      </c>
      <c r="E15" s="13" t="s">
        <v>10</v>
      </c>
      <c r="F15" s="9">
        <v>30000674</v>
      </c>
      <c r="G15" s="13" t="s">
        <v>26</v>
      </c>
      <c r="H15" s="14"/>
      <c r="I15" s="14"/>
      <c r="J15" s="14"/>
      <c r="K15" s="14"/>
      <c r="L15" s="98">
        <f t="shared" si="0"/>
        <v>20000000</v>
      </c>
      <c r="M15" s="195">
        <f>SUM(L$8:L15)</f>
        <v>70758000</v>
      </c>
      <c r="N15" s="14"/>
      <c r="O15" s="195">
        <f>SUM(N$8:N15)</f>
        <v>46000000</v>
      </c>
      <c r="P15" s="14"/>
      <c r="Q15" s="12"/>
      <c r="R15" s="108"/>
      <c r="S15" s="12"/>
      <c r="T15" s="14"/>
      <c r="U15" s="12"/>
      <c r="W15" s="90">
        <f t="shared" si="1"/>
        <v>20000000</v>
      </c>
      <c r="X15" s="16">
        <v>15001626</v>
      </c>
      <c r="Y15" s="16">
        <v>4998374</v>
      </c>
      <c r="Z15" s="16"/>
      <c r="AA15" s="80"/>
      <c r="AB15" s="79">
        <v>0</v>
      </c>
      <c r="AC15" s="16">
        <v>0</v>
      </c>
      <c r="AD15" s="80">
        <v>0</v>
      </c>
      <c r="AE15" s="79">
        <v>0</v>
      </c>
      <c r="AF15" s="16">
        <v>0</v>
      </c>
      <c r="AG15" s="16">
        <v>0</v>
      </c>
      <c r="AH15" s="16">
        <v>0</v>
      </c>
      <c r="AI15" s="80">
        <v>0</v>
      </c>
    </row>
    <row r="16" spans="1:35">
      <c r="B16" s="23">
        <v>9</v>
      </c>
      <c r="C16" s="13" t="s">
        <v>27</v>
      </c>
      <c r="D16" s="13" t="s">
        <v>84</v>
      </c>
      <c r="E16" s="13" t="s">
        <v>28</v>
      </c>
      <c r="F16" s="9">
        <v>20062696</v>
      </c>
      <c r="G16" s="13" t="s">
        <v>29</v>
      </c>
      <c r="H16" s="14">
        <v>0</v>
      </c>
      <c r="I16" s="14">
        <v>0</v>
      </c>
      <c r="J16" s="14">
        <v>42000</v>
      </c>
      <c r="K16" s="14">
        <v>20760000</v>
      </c>
      <c r="L16" s="98">
        <f t="shared" si="0"/>
        <v>20761000</v>
      </c>
      <c r="M16" s="195">
        <f>SUM(L$8:L16)</f>
        <v>91519000</v>
      </c>
      <c r="N16" s="14"/>
      <c r="O16" s="195">
        <f>SUM(N$8:N16)</f>
        <v>46000000</v>
      </c>
      <c r="P16" s="14"/>
      <c r="Q16" s="12"/>
      <c r="R16" s="108"/>
      <c r="S16" s="12"/>
      <c r="T16" s="14"/>
      <c r="U16" s="12"/>
      <c r="W16" s="90">
        <f t="shared" si="1"/>
        <v>20761000</v>
      </c>
      <c r="X16" s="16"/>
      <c r="Y16" s="16">
        <v>20761000</v>
      </c>
      <c r="Z16" s="16"/>
      <c r="AA16" s="80"/>
      <c r="AB16" s="79">
        <v>73004</v>
      </c>
      <c r="AC16" s="16">
        <v>0</v>
      </c>
      <c r="AD16" s="80">
        <v>0</v>
      </c>
      <c r="AE16" s="79">
        <v>224800</v>
      </c>
      <c r="AF16" s="16">
        <f>539500*2</f>
        <v>1079000</v>
      </c>
      <c r="AG16" s="16">
        <f>539500*2</f>
        <v>1079000</v>
      </c>
      <c r="AH16" s="16">
        <f>539500*2</f>
        <v>1079000</v>
      </c>
      <c r="AI16" s="80">
        <f>539500*2</f>
        <v>1079000</v>
      </c>
    </row>
    <row r="17" spans="1:35">
      <c r="B17" s="24">
        <v>10</v>
      </c>
      <c r="C17" s="13" t="s">
        <v>27</v>
      </c>
      <c r="D17" s="13" t="s">
        <v>84</v>
      </c>
      <c r="E17" s="13" t="s">
        <v>32</v>
      </c>
      <c r="F17" s="9">
        <v>20062698</v>
      </c>
      <c r="G17" s="13" t="s">
        <v>33</v>
      </c>
      <c r="H17" s="14">
        <v>0</v>
      </c>
      <c r="I17" s="14">
        <v>0</v>
      </c>
      <c r="J17" s="14">
        <v>86000</v>
      </c>
      <c r="K17" s="14">
        <v>35488000</v>
      </c>
      <c r="L17" s="98">
        <f t="shared" si="0"/>
        <v>35525411</v>
      </c>
      <c r="M17" s="195">
        <f>SUM(L$8:L17)</f>
        <v>127044411</v>
      </c>
      <c r="N17" s="14"/>
      <c r="O17" s="195">
        <f>SUM(N$8:N17)</f>
        <v>46000000</v>
      </c>
      <c r="P17" s="14"/>
      <c r="Q17" s="12"/>
      <c r="R17" s="108"/>
      <c r="S17" s="12"/>
      <c r="T17" s="14"/>
      <c r="U17" s="12"/>
      <c r="W17" s="90">
        <f t="shared" si="1"/>
        <v>35525411</v>
      </c>
      <c r="X17" s="16"/>
      <c r="Y17" s="16">
        <v>35525411</v>
      </c>
      <c r="Z17" s="16"/>
      <c r="AA17" s="80"/>
      <c r="AB17" s="79">
        <v>0</v>
      </c>
      <c r="AC17" s="16">
        <v>89230</v>
      </c>
      <c r="AD17" s="80">
        <v>0</v>
      </c>
      <c r="AE17" s="79">
        <v>70300</v>
      </c>
      <c r="AF17" s="16">
        <f>120500*2</f>
        <v>241000</v>
      </c>
      <c r="AG17" s="16">
        <f>120500*2</f>
        <v>241000</v>
      </c>
      <c r="AH17" s="16">
        <f>120500*2</f>
        <v>241000</v>
      </c>
      <c r="AI17" s="80">
        <f>120500*2</f>
        <v>241000</v>
      </c>
    </row>
    <row r="18" spans="1:35">
      <c r="B18" s="23">
        <v>11</v>
      </c>
      <c r="C18" s="13" t="s">
        <v>27</v>
      </c>
      <c r="D18" s="13" t="s">
        <v>84</v>
      </c>
      <c r="E18" s="13" t="s">
        <v>36</v>
      </c>
      <c r="F18" s="9">
        <v>20062699</v>
      </c>
      <c r="G18" s="13" t="s">
        <v>37</v>
      </c>
      <c r="H18" s="14">
        <v>0</v>
      </c>
      <c r="I18" s="14">
        <v>0</v>
      </c>
      <c r="J18" s="14">
        <v>41000</v>
      </c>
      <c r="K18" s="14">
        <v>24396000</v>
      </c>
      <c r="L18" s="98">
        <f t="shared" si="0"/>
        <v>24360000</v>
      </c>
      <c r="M18" s="195">
        <f>SUM(L$8:L18)</f>
        <v>151404411</v>
      </c>
      <c r="N18" s="14"/>
      <c r="O18" s="195">
        <f>SUM(N$8:N18)</f>
        <v>46000000</v>
      </c>
      <c r="P18" s="14"/>
      <c r="Q18" s="12"/>
      <c r="R18" s="108"/>
      <c r="S18" s="12"/>
      <c r="T18" s="14"/>
      <c r="U18" s="12"/>
      <c r="W18" s="90">
        <f t="shared" si="1"/>
        <v>24360000</v>
      </c>
      <c r="X18" s="16"/>
      <c r="Y18" s="16">
        <v>24360000</v>
      </c>
      <c r="Z18" s="16"/>
      <c r="AA18" s="80"/>
      <c r="AB18" s="79">
        <v>56180</v>
      </c>
      <c r="AC18" s="16">
        <v>0</v>
      </c>
      <c r="AD18" s="80">
        <v>0</v>
      </c>
      <c r="AE18" s="79">
        <v>207600</v>
      </c>
      <c r="AF18" s="16">
        <f>415200*2</f>
        <v>830400</v>
      </c>
      <c r="AG18" s="16">
        <f>415200*2</f>
        <v>830400</v>
      </c>
      <c r="AH18" s="16">
        <f>415200*2</f>
        <v>830400</v>
      </c>
      <c r="AI18" s="80">
        <f>415200*2</f>
        <v>830400</v>
      </c>
    </row>
    <row r="19" spans="1:35">
      <c r="B19" s="24">
        <v>12</v>
      </c>
      <c r="C19" s="13" t="s">
        <v>27</v>
      </c>
      <c r="D19" s="13" t="s">
        <v>85</v>
      </c>
      <c r="E19" s="13" t="s">
        <v>40</v>
      </c>
      <c r="F19" s="9">
        <v>20081221</v>
      </c>
      <c r="G19" s="13" t="s">
        <v>41</v>
      </c>
      <c r="H19" s="14">
        <v>0</v>
      </c>
      <c r="I19" s="14">
        <v>0</v>
      </c>
      <c r="J19" s="14">
        <v>38000</v>
      </c>
      <c r="K19" s="14">
        <v>37873000</v>
      </c>
      <c r="L19" s="98">
        <f t="shared" si="0"/>
        <v>37633000</v>
      </c>
      <c r="M19" s="195">
        <f>SUM(L$8:L19)</f>
        <v>189037411</v>
      </c>
      <c r="N19" s="14">
        <v>37633000</v>
      </c>
      <c r="O19" s="195">
        <f>SUM(N$8:N19)</f>
        <v>83633000</v>
      </c>
      <c r="P19" s="14"/>
      <c r="Q19" s="12"/>
      <c r="R19" s="108"/>
      <c r="S19" s="12"/>
      <c r="T19" s="14"/>
      <c r="U19" s="12"/>
      <c r="W19" s="90">
        <f t="shared" si="1"/>
        <v>37633000</v>
      </c>
      <c r="X19" s="16"/>
      <c r="Y19" s="16">
        <v>37633000</v>
      </c>
      <c r="Z19" s="16"/>
      <c r="AA19" s="80"/>
      <c r="AB19" s="79">
        <v>69704</v>
      </c>
      <c r="AC19" s="16">
        <v>0</v>
      </c>
      <c r="AD19" s="80">
        <v>48838</v>
      </c>
      <c r="AE19" s="79">
        <v>128400</v>
      </c>
      <c r="AF19" s="16">
        <f>220100*2</f>
        <v>440200</v>
      </c>
      <c r="AG19" s="16">
        <f>220100*2</f>
        <v>440200</v>
      </c>
      <c r="AH19" s="16">
        <f>220100*2</f>
        <v>440200</v>
      </c>
      <c r="AI19" s="80">
        <f>220100*2</f>
        <v>440200</v>
      </c>
    </row>
    <row r="20" spans="1:35">
      <c r="B20" s="23">
        <v>13</v>
      </c>
      <c r="C20" s="13" t="s">
        <v>27</v>
      </c>
      <c r="D20" s="13" t="s">
        <v>86</v>
      </c>
      <c r="E20" s="13" t="s">
        <v>42</v>
      </c>
      <c r="F20" s="9">
        <v>30000130</v>
      </c>
      <c r="G20" s="13" t="s">
        <v>44</v>
      </c>
      <c r="H20" s="14">
        <v>0</v>
      </c>
      <c r="I20" s="14">
        <v>0</v>
      </c>
      <c r="J20" s="14">
        <v>46000</v>
      </c>
      <c r="K20" s="14">
        <v>21834000</v>
      </c>
      <c r="L20" s="98">
        <f t="shared" si="0"/>
        <v>21838000</v>
      </c>
      <c r="M20" s="195">
        <f>SUM(L$8:L20)</f>
        <v>210875411</v>
      </c>
      <c r="N20" s="14">
        <v>21838000</v>
      </c>
      <c r="O20" s="195">
        <f>SUM(N$8:N20)</f>
        <v>105471000</v>
      </c>
      <c r="P20" s="14"/>
      <c r="Q20" s="12"/>
      <c r="R20" s="108"/>
      <c r="S20" s="12"/>
      <c r="T20" s="14"/>
      <c r="U20" s="12"/>
      <c r="W20" s="90">
        <f t="shared" si="1"/>
        <v>21838000</v>
      </c>
      <c r="X20" s="16"/>
      <c r="Y20" s="16">
        <v>21838000</v>
      </c>
      <c r="Z20" s="16"/>
      <c r="AA20" s="80"/>
      <c r="AB20" s="79">
        <v>3500</v>
      </c>
      <c r="AC20" s="16">
        <v>54000</v>
      </c>
      <c r="AD20" s="80">
        <v>0</v>
      </c>
      <c r="AE20" s="79">
        <v>44700</v>
      </c>
      <c r="AF20" s="16">
        <f>98800*2</f>
        <v>197600</v>
      </c>
      <c r="AG20" s="16">
        <f>98800*2</f>
        <v>197600</v>
      </c>
      <c r="AH20" s="16">
        <f>98800*2</f>
        <v>197600</v>
      </c>
      <c r="AI20" s="80">
        <f>98800*2</f>
        <v>197600</v>
      </c>
    </row>
    <row r="21" spans="1:35">
      <c r="B21" s="24">
        <v>14</v>
      </c>
      <c r="C21" s="13" t="s">
        <v>27</v>
      </c>
      <c r="D21" s="13" t="s">
        <v>85</v>
      </c>
      <c r="E21" s="13" t="s">
        <v>47</v>
      </c>
      <c r="F21" s="9">
        <v>20081224</v>
      </c>
      <c r="G21" s="13" t="s">
        <v>48</v>
      </c>
      <c r="H21" s="14">
        <v>0</v>
      </c>
      <c r="I21" s="14">
        <v>0</v>
      </c>
      <c r="J21" s="14">
        <v>57000</v>
      </c>
      <c r="K21" s="14">
        <v>29410000</v>
      </c>
      <c r="L21" s="98">
        <f t="shared" si="0"/>
        <v>29494000</v>
      </c>
      <c r="M21" s="195">
        <f>SUM(L$8:L21)</f>
        <v>240369411</v>
      </c>
      <c r="N21" s="14">
        <v>29494000</v>
      </c>
      <c r="O21" s="195">
        <f>SUM(N$8:N21)</f>
        <v>134965000</v>
      </c>
      <c r="P21" s="14"/>
      <c r="Q21" s="12"/>
      <c r="R21" s="108"/>
      <c r="S21" s="12"/>
      <c r="T21" s="14"/>
      <c r="U21" s="12"/>
      <c r="W21" s="90">
        <f t="shared" si="1"/>
        <v>29494000</v>
      </c>
      <c r="X21" s="16"/>
      <c r="Y21" s="16">
        <v>29494000</v>
      </c>
      <c r="Z21" s="16"/>
      <c r="AA21" s="80"/>
      <c r="AB21" s="79">
        <v>70000</v>
      </c>
      <c r="AC21" s="16">
        <v>0</v>
      </c>
      <c r="AD21" s="80">
        <v>19360</v>
      </c>
      <c r="AE21" s="79">
        <v>66700</v>
      </c>
      <c r="AF21" s="16">
        <f>400400+400400</f>
        <v>800800</v>
      </c>
      <c r="AG21" s="16">
        <f>400400+400400</f>
        <v>800800</v>
      </c>
      <c r="AH21" s="16">
        <f>400400+400400</f>
        <v>800800</v>
      </c>
      <c r="AI21" s="80">
        <f>400400+400400</f>
        <v>800800</v>
      </c>
    </row>
    <row r="22" spans="1:35">
      <c r="B22" s="23">
        <v>15</v>
      </c>
      <c r="C22" s="13" t="s">
        <v>27</v>
      </c>
      <c r="D22" s="13" t="s">
        <v>85</v>
      </c>
      <c r="E22" s="13" t="s">
        <v>51</v>
      </c>
      <c r="F22" s="9">
        <v>20081225</v>
      </c>
      <c r="G22" s="13" t="s">
        <v>52</v>
      </c>
      <c r="H22" s="14">
        <v>0</v>
      </c>
      <c r="I22" s="14">
        <v>0</v>
      </c>
      <c r="J22" s="14">
        <v>46000</v>
      </c>
      <c r="K22" s="14">
        <v>37704000</v>
      </c>
      <c r="L22" s="98">
        <f t="shared" si="0"/>
        <v>37701000</v>
      </c>
      <c r="M22" s="195">
        <f>SUM(L$8:L22)</f>
        <v>278070411</v>
      </c>
      <c r="N22" s="14">
        <v>37701000</v>
      </c>
      <c r="O22" s="195">
        <f>SUM(N$8:N22)</f>
        <v>172666000</v>
      </c>
      <c r="P22" s="14"/>
      <c r="Q22" s="12"/>
      <c r="R22" s="108"/>
      <c r="S22" s="12"/>
      <c r="T22" s="14"/>
      <c r="U22" s="12"/>
      <c r="W22" s="90">
        <f t="shared" si="1"/>
        <v>37701000</v>
      </c>
      <c r="X22" s="16"/>
      <c r="Y22" s="16">
        <v>37701000</v>
      </c>
      <c r="Z22" s="16"/>
      <c r="AA22" s="80"/>
      <c r="AB22" s="79">
        <v>69950</v>
      </c>
      <c r="AC22" s="16">
        <v>5000</v>
      </c>
      <c r="AD22" s="80">
        <v>0</v>
      </c>
      <c r="AE22" s="79">
        <v>261800</v>
      </c>
      <c r="AF22" s="16">
        <f>523700*2</f>
        <v>1047400</v>
      </c>
      <c r="AG22" s="16">
        <f>523700*2</f>
        <v>1047400</v>
      </c>
      <c r="AH22" s="16">
        <f>523700*2</f>
        <v>1047400</v>
      </c>
      <c r="AI22" s="80">
        <f>523700*2</f>
        <v>1047400</v>
      </c>
    </row>
    <row r="23" spans="1:35">
      <c r="B23" s="24">
        <v>16</v>
      </c>
      <c r="C23" s="13" t="s">
        <v>53</v>
      </c>
      <c r="D23" s="13" t="s">
        <v>85</v>
      </c>
      <c r="E23" s="13" t="s">
        <v>54</v>
      </c>
      <c r="F23" s="9">
        <v>30000122</v>
      </c>
      <c r="G23" s="13" t="s">
        <v>55</v>
      </c>
      <c r="H23" s="14">
        <v>170000</v>
      </c>
      <c r="I23" s="14">
        <v>0</v>
      </c>
      <c r="J23" s="14">
        <v>3288000</v>
      </c>
      <c r="K23" s="14">
        <v>0</v>
      </c>
      <c r="L23" s="98">
        <f t="shared" si="0"/>
        <v>3369203</v>
      </c>
      <c r="M23" s="195">
        <f>SUM(L$8:L23)</f>
        <v>281439614</v>
      </c>
      <c r="N23" s="14"/>
      <c r="O23" s="195">
        <f>SUM(N$8:N23)</f>
        <v>172666000</v>
      </c>
      <c r="P23" s="14"/>
      <c r="Q23" s="12"/>
      <c r="R23" s="108"/>
      <c r="S23" s="12"/>
      <c r="T23" s="14"/>
      <c r="U23" s="12"/>
      <c r="W23" s="90">
        <f t="shared" si="1"/>
        <v>3369203</v>
      </c>
      <c r="X23" s="16"/>
      <c r="Y23" s="16">
        <v>3369203</v>
      </c>
      <c r="Z23" s="16"/>
      <c r="AA23" s="80"/>
      <c r="AB23" s="79">
        <v>75000</v>
      </c>
      <c r="AC23" s="16">
        <v>0</v>
      </c>
      <c r="AD23" s="80">
        <v>0</v>
      </c>
      <c r="AE23" s="79">
        <v>0</v>
      </c>
      <c r="AF23" s="16">
        <v>0</v>
      </c>
      <c r="AG23" s="16">
        <f>546000*2</f>
        <v>1092000</v>
      </c>
      <c r="AH23" s="16">
        <f>546000*2</f>
        <v>1092000</v>
      </c>
      <c r="AI23" s="80">
        <f>546000*2</f>
        <v>1092000</v>
      </c>
    </row>
    <row r="24" spans="1:35">
      <c r="B24" s="23">
        <v>17</v>
      </c>
      <c r="C24" s="13" t="s">
        <v>27</v>
      </c>
      <c r="D24" s="13" t="s">
        <v>86</v>
      </c>
      <c r="E24" s="13" t="s">
        <v>56</v>
      </c>
      <c r="F24" s="9">
        <v>30000129</v>
      </c>
      <c r="G24" s="13" t="s">
        <v>57</v>
      </c>
      <c r="H24" s="14">
        <v>0</v>
      </c>
      <c r="I24" s="14">
        <v>0</v>
      </c>
      <c r="J24" s="14">
        <v>28000</v>
      </c>
      <c r="K24" s="14">
        <v>20958000</v>
      </c>
      <c r="L24" s="98">
        <f t="shared" si="0"/>
        <v>20861000</v>
      </c>
      <c r="M24" s="195">
        <f>SUM(L$8:L24)</f>
        <v>302300614</v>
      </c>
      <c r="N24" s="14">
        <v>20861000</v>
      </c>
      <c r="O24" s="195">
        <f>SUM(N$8:N24)</f>
        <v>193527000</v>
      </c>
      <c r="P24" s="14"/>
      <c r="Q24" s="12"/>
      <c r="R24" s="108"/>
      <c r="S24" s="12"/>
      <c r="T24" s="14"/>
      <c r="U24" s="12"/>
      <c r="W24" s="90">
        <f t="shared" si="1"/>
        <v>20861000</v>
      </c>
      <c r="X24" s="16"/>
      <c r="Y24" s="16">
        <v>20861000</v>
      </c>
      <c r="Z24" s="16"/>
      <c r="AA24" s="80"/>
      <c r="AB24" s="79">
        <v>0</v>
      </c>
      <c r="AC24" s="16">
        <v>69203</v>
      </c>
      <c r="AD24" s="80">
        <v>0</v>
      </c>
      <c r="AE24" s="79">
        <v>46700</v>
      </c>
      <c r="AF24" s="16">
        <f>93400*2</f>
        <v>186800</v>
      </c>
      <c r="AG24" s="16">
        <f>93400*2</f>
        <v>186800</v>
      </c>
      <c r="AH24" s="16">
        <f>93400*2</f>
        <v>186800</v>
      </c>
      <c r="AI24" s="80">
        <f>93400*2</f>
        <v>186800</v>
      </c>
    </row>
    <row r="25" spans="1:35">
      <c r="B25" s="24">
        <v>18</v>
      </c>
      <c r="C25" s="13" t="s">
        <v>27</v>
      </c>
      <c r="D25" s="13" t="s">
        <v>84</v>
      </c>
      <c r="E25" s="13" t="s">
        <v>58</v>
      </c>
      <c r="F25" s="9">
        <v>20082701</v>
      </c>
      <c r="G25" s="13" t="s">
        <v>59</v>
      </c>
      <c r="H25" s="14">
        <v>0</v>
      </c>
      <c r="I25" s="14">
        <v>0</v>
      </c>
      <c r="J25" s="14">
        <v>66000</v>
      </c>
      <c r="K25" s="14">
        <v>38878000</v>
      </c>
      <c r="L25" s="98">
        <f t="shared" si="0"/>
        <v>38819000</v>
      </c>
      <c r="M25" s="195">
        <f>SUM(L$8:L25)</f>
        <v>341119614</v>
      </c>
      <c r="N25" s="14"/>
      <c r="O25" s="195">
        <f>SUM(N$8:N25)</f>
        <v>193527000</v>
      </c>
      <c r="P25" s="14"/>
      <c r="Q25" s="12"/>
      <c r="R25" s="108"/>
      <c r="S25" s="12"/>
      <c r="T25" s="14"/>
      <c r="U25" s="12"/>
      <c r="W25" s="90">
        <f t="shared" si="1"/>
        <v>38819000</v>
      </c>
      <c r="X25" s="16"/>
      <c r="Y25" s="16">
        <v>38819000</v>
      </c>
      <c r="Z25" s="16"/>
      <c r="AA25" s="80"/>
      <c r="AB25" s="79">
        <v>69715</v>
      </c>
      <c r="AC25" s="16">
        <v>0</v>
      </c>
      <c r="AD25" s="80">
        <v>0</v>
      </c>
      <c r="AE25" s="79">
        <v>40473</v>
      </c>
      <c r="AF25" s="16">
        <f>508000*2</f>
        <v>1016000</v>
      </c>
      <c r="AG25" s="16">
        <f>508000*2</f>
        <v>1016000</v>
      </c>
      <c r="AH25" s="16">
        <f>508000*2</f>
        <v>1016000</v>
      </c>
      <c r="AI25" s="80">
        <f>508000*2</f>
        <v>1016000</v>
      </c>
    </row>
    <row r="26" spans="1:35">
      <c r="B26" s="23">
        <v>19</v>
      </c>
      <c r="C26" s="10" t="s">
        <v>53</v>
      </c>
      <c r="D26" s="10" t="s">
        <v>85</v>
      </c>
      <c r="E26" s="10" t="s">
        <v>60</v>
      </c>
      <c r="F26" s="9">
        <v>30000123</v>
      </c>
      <c r="G26" s="10" t="s">
        <v>61</v>
      </c>
      <c r="H26" s="11">
        <v>200000</v>
      </c>
      <c r="I26" s="11">
        <v>1145000</v>
      </c>
      <c r="J26" s="11">
        <v>2846000</v>
      </c>
      <c r="K26" s="14">
        <v>0</v>
      </c>
      <c r="L26" s="98">
        <f t="shared" si="0"/>
        <v>4138456</v>
      </c>
      <c r="M26" s="195">
        <f>SUM(L$8:L26)</f>
        <v>345258070</v>
      </c>
      <c r="N26" s="14">
        <v>4138000</v>
      </c>
      <c r="O26" s="195">
        <f>SUM(N$8:N26)</f>
        <v>197665000</v>
      </c>
      <c r="P26" s="14"/>
      <c r="Q26" s="12"/>
      <c r="R26" s="108"/>
      <c r="S26" s="12"/>
      <c r="T26" s="14"/>
      <c r="U26" s="12"/>
      <c r="W26" s="90">
        <f t="shared" si="1"/>
        <v>9138456</v>
      </c>
      <c r="X26" s="16"/>
      <c r="Y26" s="16">
        <v>4138456</v>
      </c>
      <c r="Z26" s="16"/>
      <c r="AA26" s="80">
        <v>5000000</v>
      </c>
      <c r="AB26" s="79">
        <v>69980</v>
      </c>
      <c r="AC26" s="16">
        <v>0</v>
      </c>
      <c r="AD26" s="80">
        <v>0</v>
      </c>
      <c r="AE26" s="79">
        <v>0</v>
      </c>
      <c r="AF26" s="16">
        <v>0</v>
      </c>
      <c r="AG26" s="16">
        <f>509000*2</f>
        <v>1018000</v>
      </c>
      <c r="AH26" s="16">
        <f>509000*2</f>
        <v>1018000</v>
      </c>
      <c r="AI26" s="80">
        <f>509000*2</f>
        <v>1018000</v>
      </c>
    </row>
    <row r="27" spans="1:35">
      <c r="B27" s="24">
        <v>20</v>
      </c>
      <c r="C27" s="10" t="s">
        <v>27</v>
      </c>
      <c r="D27" s="10" t="s">
        <v>84</v>
      </c>
      <c r="E27" s="10" t="s">
        <v>62</v>
      </c>
      <c r="F27" s="9">
        <v>20082702</v>
      </c>
      <c r="G27" s="10" t="s">
        <v>63</v>
      </c>
      <c r="H27" s="11">
        <v>0</v>
      </c>
      <c r="I27" s="11">
        <v>0</v>
      </c>
      <c r="J27" s="11">
        <v>0</v>
      </c>
      <c r="K27" s="14">
        <v>37946000</v>
      </c>
      <c r="L27" s="98">
        <f t="shared" si="0"/>
        <v>37948757</v>
      </c>
      <c r="M27" s="195">
        <f>SUM(L$8:L27)</f>
        <v>383206827</v>
      </c>
      <c r="N27" s="14"/>
      <c r="O27" s="195">
        <f>SUM(N$8:N27)</f>
        <v>197665000</v>
      </c>
      <c r="P27" s="14"/>
      <c r="Q27" s="12"/>
      <c r="R27" s="108"/>
      <c r="S27" s="12"/>
      <c r="T27" s="14"/>
      <c r="U27" s="12"/>
      <c r="W27" s="90">
        <f t="shared" si="1"/>
        <v>39967000</v>
      </c>
      <c r="X27" s="16"/>
      <c r="Y27" s="16">
        <v>37948757</v>
      </c>
      <c r="Z27" s="16">
        <v>2018243</v>
      </c>
      <c r="AA27" s="80"/>
      <c r="AB27" s="79">
        <v>70000</v>
      </c>
      <c r="AC27" s="16">
        <v>0</v>
      </c>
      <c r="AD27" s="80">
        <v>0</v>
      </c>
      <c r="AE27" s="79">
        <v>258700</v>
      </c>
      <c r="AF27" s="16">
        <f>258700+517300</f>
        <v>776000</v>
      </c>
      <c r="AG27" s="16">
        <f>517300*2</f>
        <v>1034600</v>
      </c>
      <c r="AH27" s="16">
        <f>517300*2</f>
        <v>1034600</v>
      </c>
      <c r="AI27" s="80">
        <f>517300*2</f>
        <v>1034600</v>
      </c>
    </row>
    <row r="28" spans="1:35">
      <c r="B28" s="23">
        <v>21</v>
      </c>
      <c r="C28" s="10" t="s">
        <v>53</v>
      </c>
      <c r="D28" s="10" t="s">
        <v>84</v>
      </c>
      <c r="E28" s="10" t="s">
        <v>64</v>
      </c>
      <c r="F28" s="9">
        <v>20082704</v>
      </c>
      <c r="G28" s="10" t="s">
        <v>65</v>
      </c>
      <c r="H28" s="11">
        <v>0</v>
      </c>
      <c r="I28" s="11">
        <v>0</v>
      </c>
      <c r="J28" s="11">
        <v>997000</v>
      </c>
      <c r="K28" s="14">
        <v>0</v>
      </c>
      <c r="L28" s="98">
        <f t="shared" si="0"/>
        <v>1106359</v>
      </c>
      <c r="M28" s="195">
        <f>SUM(L$8:L28)</f>
        <v>384313186</v>
      </c>
      <c r="N28" s="14"/>
      <c r="O28" s="195">
        <f>SUM(N$8:N28)</f>
        <v>197665000</v>
      </c>
      <c r="P28" s="14"/>
      <c r="Q28" s="12"/>
      <c r="R28" s="108"/>
      <c r="S28" s="12"/>
      <c r="T28" s="14"/>
      <c r="U28" s="12"/>
      <c r="W28" s="90">
        <f t="shared" si="1"/>
        <v>1106359</v>
      </c>
      <c r="X28" s="16"/>
      <c r="Y28" s="16">
        <v>1106359</v>
      </c>
      <c r="Z28" s="16"/>
      <c r="AA28" s="80"/>
      <c r="AB28" s="79">
        <v>40520</v>
      </c>
      <c r="AC28" s="16">
        <v>10815</v>
      </c>
      <c r="AD28" s="80">
        <v>0</v>
      </c>
      <c r="AE28" s="79">
        <v>0</v>
      </c>
      <c r="AF28" s="16">
        <v>245000</v>
      </c>
      <c r="AG28" s="16">
        <f>295000*2</f>
        <v>590000</v>
      </c>
      <c r="AH28" s="16">
        <f>295000*2</f>
        <v>590000</v>
      </c>
      <c r="AI28" s="80">
        <f>295000*2</f>
        <v>590000</v>
      </c>
    </row>
    <row r="29" spans="1:35">
      <c r="B29" s="24">
        <v>22</v>
      </c>
      <c r="C29" s="10" t="s">
        <v>53</v>
      </c>
      <c r="D29" s="10" t="s">
        <v>85</v>
      </c>
      <c r="E29" s="10" t="s">
        <v>66</v>
      </c>
      <c r="F29" s="9">
        <v>30000126</v>
      </c>
      <c r="G29" s="10" t="s">
        <v>67</v>
      </c>
      <c r="H29" s="11">
        <v>250000</v>
      </c>
      <c r="I29" s="11">
        <v>0</v>
      </c>
      <c r="J29" s="11">
        <v>2212000</v>
      </c>
      <c r="K29" s="14">
        <v>0</v>
      </c>
      <c r="L29" s="98">
        <f t="shared" si="0"/>
        <v>1696496</v>
      </c>
      <c r="M29" s="195">
        <f>SUM(L$8:L29)</f>
        <v>386009682</v>
      </c>
      <c r="N29" s="14"/>
      <c r="O29" s="195">
        <f>SUM(N$8:N29)</f>
        <v>197665000</v>
      </c>
      <c r="P29" s="14"/>
      <c r="Q29" s="12"/>
      <c r="R29" s="108"/>
      <c r="S29" s="12"/>
      <c r="T29" s="14"/>
      <c r="U29" s="12"/>
      <c r="W29" s="90">
        <f t="shared" si="1"/>
        <v>1696496</v>
      </c>
      <c r="X29" s="16"/>
      <c r="Y29" s="16">
        <v>1696496</v>
      </c>
      <c r="Z29" s="16"/>
      <c r="AA29" s="80"/>
      <c r="AB29" s="79">
        <v>24000</v>
      </c>
      <c r="AC29" s="16">
        <v>0</v>
      </c>
      <c r="AD29" s="80">
        <v>0</v>
      </c>
      <c r="AE29" s="79">
        <v>0</v>
      </c>
      <c r="AF29" s="16">
        <v>90495</v>
      </c>
      <c r="AG29" s="16">
        <f>183000*2</f>
        <v>366000</v>
      </c>
      <c r="AH29" s="16">
        <f>183000*2</f>
        <v>366000</v>
      </c>
      <c r="AI29" s="80">
        <f>183000*2</f>
        <v>366000</v>
      </c>
    </row>
    <row r="30" spans="1:35">
      <c r="B30" s="23">
        <v>23</v>
      </c>
      <c r="C30" s="13" t="s">
        <v>27</v>
      </c>
      <c r="D30" s="13" t="s">
        <v>85</v>
      </c>
      <c r="E30" s="13" t="s">
        <v>30</v>
      </c>
      <c r="F30" s="9">
        <v>20081226</v>
      </c>
      <c r="G30" s="13" t="s">
        <v>31</v>
      </c>
      <c r="H30" s="14">
        <v>0</v>
      </c>
      <c r="I30" s="14">
        <v>0</v>
      </c>
      <c r="J30" s="14">
        <v>55000</v>
      </c>
      <c r="K30" s="14">
        <v>43136000</v>
      </c>
      <c r="L30" s="98">
        <f t="shared" si="0"/>
        <v>43614000</v>
      </c>
      <c r="M30" s="195">
        <f>SUM(L$8:L30)</f>
        <v>429623682</v>
      </c>
      <c r="N30" s="14"/>
      <c r="O30" s="195">
        <f>SUM(N$8:N30)</f>
        <v>197665000</v>
      </c>
      <c r="P30" s="14"/>
      <c r="Q30" s="12"/>
      <c r="R30" s="108"/>
      <c r="S30" s="12"/>
      <c r="T30" s="14"/>
      <c r="U30" s="12"/>
      <c r="W30" s="90">
        <f t="shared" si="1"/>
        <v>43614000</v>
      </c>
      <c r="X30" s="16"/>
      <c r="Y30" s="16">
        <v>43614000</v>
      </c>
      <c r="Z30" s="16"/>
      <c r="AA30" s="80"/>
      <c r="AB30" s="79">
        <v>69950</v>
      </c>
      <c r="AC30" s="16">
        <v>0</v>
      </c>
      <c r="AD30" s="80">
        <v>0</v>
      </c>
      <c r="AE30" s="79">
        <v>40552</v>
      </c>
      <c r="AF30" s="16">
        <f>509000*2</f>
        <v>1018000</v>
      </c>
      <c r="AG30" s="16">
        <f>509000*2</f>
        <v>1018000</v>
      </c>
      <c r="AH30" s="16">
        <f>509000*2</f>
        <v>1018000</v>
      </c>
      <c r="AI30" s="80">
        <f>509000*2</f>
        <v>1018000</v>
      </c>
    </row>
    <row r="31" spans="1:35" s="21" customFormat="1">
      <c r="A31" s="2"/>
      <c r="B31" s="24">
        <v>24</v>
      </c>
      <c r="C31" s="13" t="s">
        <v>53</v>
      </c>
      <c r="D31" s="13" t="s">
        <v>85</v>
      </c>
      <c r="E31" s="19" t="s">
        <v>68</v>
      </c>
      <c r="F31" s="9">
        <v>30000128</v>
      </c>
      <c r="G31" s="19" t="s">
        <v>75</v>
      </c>
      <c r="H31" s="14">
        <v>250000</v>
      </c>
      <c r="I31" s="14">
        <v>0</v>
      </c>
      <c r="J31" s="14">
        <v>1897000</v>
      </c>
      <c r="K31" s="14">
        <v>0</v>
      </c>
      <c r="L31" s="98">
        <f t="shared" si="0"/>
        <v>2303853</v>
      </c>
      <c r="M31" s="195">
        <f>SUM(L$8:L31)</f>
        <v>431927535</v>
      </c>
      <c r="N31" s="14"/>
      <c r="O31" s="195">
        <f>SUM(N$8:N31)</f>
        <v>197665000</v>
      </c>
      <c r="P31" s="14"/>
      <c r="Q31" s="20"/>
      <c r="R31" s="109"/>
      <c r="S31" s="20"/>
      <c r="T31" s="14"/>
      <c r="U31" s="20"/>
      <c r="V31" s="91"/>
      <c r="W31" s="90">
        <f t="shared" si="1"/>
        <v>2303853</v>
      </c>
      <c r="X31" s="16"/>
      <c r="Y31" s="17">
        <v>2303853</v>
      </c>
      <c r="Z31" s="16"/>
      <c r="AA31" s="80"/>
      <c r="AB31" s="79">
        <v>59000</v>
      </c>
      <c r="AC31" s="16">
        <v>0</v>
      </c>
      <c r="AD31" s="80">
        <v>0</v>
      </c>
      <c r="AE31" s="79">
        <v>0</v>
      </c>
      <c r="AF31" s="16">
        <v>106319</v>
      </c>
      <c r="AG31" s="16">
        <f>430000*2</f>
        <v>860000</v>
      </c>
      <c r="AH31" s="16">
        <f>430000*2</f>
        <v>860000</v>
      </c>
      <c r="AI31" s="80">
        <f>430000*2</f>
        <v>860000</v>
      </c>
    </row>
    <row r="32" spans="1:35">
      <c r="B32" s="23">
        <v>25</v>
      </c>
      <c r="C32" s="13" t="s">
        <v>53</v>
      </c>
      <c r="D32" s="13" t="s">
        <v>86</v>
      </c>
      <c r="E32" s="13" t="s">
        <v>69</v>
      </c>
      <c r="F32" s="9">
        <v>30000134</v>
      </c>
      <c r="G32" s="13" t="s">
        <v>70</v>
      </c>
      <c r="H32" s="14">
        <v>365000</v>
      </c>
      <c r="I32" s="14">
        <v>0</v>
      </c>
      <c r="J32" s="14">
        <v>985000</v>
      </c>
      <c r="K32" s="14">
        <v>0</v>
      </c>
      <c r="L32" s="98">
        <f t="shared" si="0"/>
        <v>1770611</v>
      </c>
      <c r="M32" s="195">
        <f>SUM(L$8:L32)</f>
        <v>433698146</v>
      </c>
      <c r="N32" s="14"/>
      <c r="O32" s="195">
        <f>SUM(N$8:N32)</f>
        <v>197665000</v>
      </c>
      <c r="P32" s="14"/>
      <c r="Q32" s="12"/>
      <c r="R32" s="108"/>
      <c r="S32" s="12"/>
      <c r="T32" s="14"/>
      <c r="U32" s="12"/>
      <c r="W32" s="90">
        <f t="shared" si="1"/>
        <v>1770611</v>
      </c>
      <c r="X32" s="16"/>
      <c r="Y32" s="17">
        <v>1770611</v>
      </c>
      <c r="Z32" s="16"/>
      <c r="AA32" s="80"/>
      <c r="AB32" s="79">
        <v>8500</v>
      </c>
      <c r="AC32" s="16">
        <v>58595</v>
      </c>
      <c r="AD32" s="80">
        <v>0</v>
      </c>
      <c r="AE32" s="79">
        <v>0</v>
      </c>
      <c r="AF32" s="16">
        <v>80440</v>
      </c>
      <c r="AG32" s="16">
        <f>488000*2</f>
        <v>976000</v>
      </c>
      <c r="AH32" s="16">
        <f>488000*2</f>
        <v>976000</v>
      </c>
      <c r="AI32" s="80">
        <f>488000*2</f>
        <v>976000</v>
      </c>
    </row>
    <row r="33" spans="2:36">
      <c r="B33" s="24">
        <v>26</v>
      </c>
      <c r="C33" s="13" t="s">
        <v>53</v>
      </c>
      <c r="D33" s="13" t="s">
        <v>84</v>
      </c>
      <c r="E33" s="13" t="s">
        <v>71</v>
      </c>
      <c r="F33" s="9">
        <v>30000137</v>
      </c>
      <c r="G33" s="13" t="s">
        <v>72</v>
      </c>
      <c r="H33" s="14">
        <v>334000</v>
      </c>
      <c r="I33" s="14">
        <v>3250000</v>
      </c>
      <c r="J33" s="14">
        <v>4115000</v>
      </c>
      <c r="K33" s="14">
        <v>0</v>
      </c>
      <c r="L33" s="98">
        <f t="shared" si="0"/>
        <v>8375751</v>
      </c>
      <c r="M33" s="195">
        <f>SUM(L$8:L33)</f>
        <v>442073897</v>
      </c>
      <c r="N33" s="14"/>
      <c r="O33" s="195">
        <f>SUM(N$8:N33)</f>
        <v>197665000</v>
      </c>
      <c r="P33" s="14"/>
      <c r="Q33" s="12"/>
      <c r="R33" s="108"/>
      <c r="S33" s="12"/>
      <c r="T33" s="14"/>
      <c r="U33" s="12"/>
      <c r="W33" s="90">
        <f t="shared" si="1"/>
        <v>8375751</v>
      </c>
      <c r="X33" s="16"/>
      <c r="Y33" s="17">
        <v>8375751</v>
      </c>
      <c r="Z33" s="16"/>
      <c r="AA33" s="80"/>
      <c r="AB33" s="79">
        <v>69910</v>
      </c>
      <c r="AC33" s="16">
        <v>0</v>
      </c>
      <c r="AD33" s="80">
        <v>0</v>
      </c>
      <c r="AE33" s="79">
        <v>0</v>
      </c>
      <c r="AF33" s="16">
        <v>83901</v>
      </c>
      <c r="AG33" s="16">
        <f>509000*2</f>
        <v>1018000</v>
      </c>
      <c r="AH33" s="16">
        <f>509000*2</f>
        <v>1018000</v>
      </c>
      <c r="AI33" s="80">
        <f>509000*2</f>
        <v>1018000</v>
      </c>
    </row>
    <row r="34" spans="2:36">
      <c r="B34" s="23">
        <v>27</v>
      </c>
      <c r="C34" s="13" t="s">
        <v>27</v>
      </c>
      <c r="D34" s="13" t="s">
        <v>85</v>
      </c>
      <c r="E34" s="13" t="s">
        <v>34</v>
      </c>
      <c r="F34" s="9">
        <v>30000120</v>
      </c>
      <c r="G34" s="13" t="s">
        <v>35</v>
      </c>
      <c r="H34" s="14">
        <v>0</v>
      </c>
      <c r="I34" s="14">
        <v>0</v>
      </c>
      <c r="J34" s="14">
        <v>0</v>
      </c>
      <c r="K34" s="14">
        <v>16985000</v>
      </c>
      <c r="L34" s="98">
        <f t="shared" si="0"/>
        <v>16923000</v>
      </c>
      <c r="M34" s="195">
        <f>SUM(L$8:L34)</f>
        <v>458996897</v>
      </c>
      <c r="N34" s="14"/>
      <c r="O34" s="195">
        <f>SUM(N$8:N34)</f>
        <v>197665000</v>
      </c>
      <c r="P34" s="14"/>
      <c r="Q34" s="12"/>
      <c r="R34" s="108"/>
      <c r="S34" s="12"/>
      <c r="T34" s="14"/>
      <c r="U34" s="12"/>
      <c r="W34" s="90">
        <f t="shared" si="1"/>
        <v>16923000</v>
      </c>
      <c r="X34" s="16"/>
      <c r="Y34" s="17">
        <v>16923000</v>
      </c>
      <c r="Z34" s="16"/>
      <c r="AA34" s="80"/>
      <c r="AB34" s="79">
        <v>27500</v>
      </c>
      <c r="AC34" s="16">
        <v>7200</v>
      </c>
      <c r="AD34" s="80">
        <v>13768</v>
      </c>
      <c r="AE34" s="79">
        <v>64900</v>
      </c>
      <c r="AF34" s="16">
        <f>129800*2</f>
        <v>259600</v>
      </c>
      <c r="AG34" s="16">
        <f>129800*2</f>
        <v>259600</v>
      </c>
      <c r="AH34" s="16">
        <f>129800*2</f>
        <v>259600</v>
      </c>
      <c r="AI34" s="80">
        <f>129800*2</f>
        <v>259600</v>
      </c>
    </row>
    <row r="35" spans="2:36">
      <c r="B35" s="24">
        <v>28</v>
      </c>
      <c r="C35" s="13" t="s">
        <v>27</v>
      </c>
      <c r="D35" s="13" t="s">
        <v>85</v>
      </c>
      <c r="E35" s="13" t="s">
        <v>38</v>
      </c>
      <c r="F35" s="9">
        <v>30000121</v>
      </c>
      <c r="G35" s="13" t="s">
        <v>39</v>
      </c>
      <c r="H35" s="14">
        <v>0</v>
      </c>
      <c r="I35" s="14">
        <v>0</v>
      </c>
      <c r="J35" s="14">
        <v>0</v>
      </c>
      <c r="K35" s="14">
        <v>13976000</v>
      </c>
      <c r="L35" s="98">
        <f t="shared" si="0"/>
        <v>20589000</v>
      </c>
      <c r="M35" s="195">
        <f>SUM(L$8:L35)</f>
        <v>479585897</v>
      </c>
      <c r="N35" s="14"/>
      <c r="O35" s="195">
        <f>SUM(N$8:N35)</f>
        <v>197665000</v>
      </c>
      <c r="P35" s="14"/>
      <c r="Q35" s="12"/>
      <c r="R35" s="108"/>
      <c r="S35" s="12"/>
      <c r="T35" s="14"/>
      <c r="U35" s="12"/>
      <c r="W35" s="90">
        <f t="shared" si="1"/>
        <v>20589000</v>
      </c>
      <c r="X35" s="16"/>
      <c r="Y35" s="17">
        <v>20589000</v>
      </c>
      <c r="Z35" s="16"/>
      <c r="AA35" s="80"/>
      <c r="AB35" s="79">
        <v>43988</v>
      </c>
      <c r="AC35" s="16">
        <v>0</v>
      </c>
      <c r="AD35" s="80">
        <v>0</v>
      </c>
      <c r="AE35" s="79">
        <v>0</v>
      </c>
      <c r="AF35" s="16">
        <f>20742+25000</f>
        <v>45742</v>
      </c>
      <c r="AG35" s="16">
        <f>25000*2</f>
        <v>50000</v>
      </c>
      <c r="AH35" s="16">
        <f>25000*2</f>
        <v>50000</v>
      </c>
      <c r="AI35" s="80">
        <f>25000*2</f>
        <v>50000</v>
      </c>
    </row>
    <row r="36" spans="2:36">
      <c r="B36" s="23">
        <v>29</v>
      </c>
      <c r="C36" s="13" t="s">
        <v>27</v>
      </c>
      <c r="D36" s="13" t="s">
        <v>85</v>
      </c>
      <c r="E36" s="13" t="s">
        <v>42</v>
      </c>
      <c r="F36" s="9">
        <v>20081222</v>
      </c>
      <c r="G36" s="13" t="s">
        <v>43</v>
      </c>
      <c r="H36" s="14">
        <v>0</v>
      </c>
      <c r="I36" s="14">
        <v>0</v>
      </c>
      <c r="J36" s="14">
        <v>0</v>
      </c>
      <c r="K36" s="14">
        <v>29655000</v>
      </c>
      <c r="L36" s="98">
        <f t="shared" si="0"/>
        <v>29989616</v>
      </c>
      <c r="M36" s="195">
        <f>SUM(L$8:L36)</f>
        <v>509575513</v>
      </c>
      <c r="N36" s="14"/>
      <c r="O36" s="195">
        <f>SUM(N$8:N36)</f>
        <v>197665000</v>
      </c>
      <c r="P36" s="14"/>
      <c r="Q36" s="12"/>
      <c r="R36" s="108"/>
      <c r="S36" s="12"/>
      <c r="T36" s="14"/>
      <c r="U36" s="12"/>
      <c r="W36" s="90">
        <f t="shared" si="1"/>
        <v>29989616</v>
      </c>
      <c r="X36" s="16"/>
      <c r="Y36" s="17">
        <v>29989616</v>
      </c>
      <c r="Z36" s="16"/>
      <c r="AA36" s="80"/>
      <c r="AB36" s="79">
        <v>69704</v>
      </c>
      <c r="AC36" s="16">
        <v>0</v>
      </c>
      <c r="AD36" s="80">
        <v>0</v>
      </c>
      <c r="AE36" s="79">
        <v>78600</v>
      </c>
      <c r="AF36" s="16">
        <f>235800*2</f>
        <v>471600</v>
      </c>
      <c r="AG36" s="16">
        <f>235800*2</f>
        <v>471600</v>
      </c>
      <c r="AH36" s="16">
        <f>235800*2</f>
        <v>471600</v>
      </c>
      <c r="AI36" s="80">
        <f>235800*2</f>
        <v>471600</v>
      </c>
    </row>
    <row r="37" spans="2:36">
      <c r="B37" s="24">
        <v>30</v>
      </c>
      <c r="C37" s="13" t="s">
        <v>53</v>
      </c>
      <c r="D37" s="13" t="s">
        <v>84</v>
      </c>
      <c r="E37" s="13" t="s">
        <v>73</v>
      </c>
      <c r="F37" s="9">
        <v>30000138</v>
      </c>
      <c r="G37" s="13" t="s">
        <v>74</v>
      </c>
      <c r="H37" s="14">
        <v>250000</v>
      </c>
      <c r="I37" s="14">
        <v>125000</v>
      </c>
      <c r="J37" s="14">
        <v>1411000</v>
      </c>
      <c r="K37" s="14">
        <v>0</v>
      </c>
      <c r="L37" s="98">
        <f t="shared" si="0"/>
        <v>1622763</v>
      </c>
      <c r="M37" s="195">
        <f>SUM(L$8:L37)</f>
        <v>511198276</v>
      </c>
      <c r="N37" s="14"/>
      <c r="O37" s="195">
        <f>SUM(N$8:N37)</f>
        <v>197665000</v>
      </c>
      <c r="P37" s="14"/>
      <c r="Q37" s="12"/>
      <c r="R37" s="108"/>
      <c r="S37" s="12"/>
      <c r="T37" s="14"/>
      <c r="U37" s="12"/>
      <c r="W37" s="90">
        <f t="shared" si="1"/>
        <v>1622763</v>
      </c>
      <c r="X37" s="16"/>
      <c r="Y37" s="17">
        <v>1622763</v>
      </c>
      <c r="Z37" s="16"/>
      <c r="AA37" s="80"/>
      <c r="AB37" s="79">
        <v>69210</v>
      </c>
      <c r="AC37" s="16">
        <v>0</v>
      </c>
      <c r="AD37" s="80">
        <v>0</v>
      </c>
      <c r="AE37" s="79">
        <v>0</v>
      </c>
      <c r="AF37" s="16">
        <v>0</v>
      </c>
      <c r="AG37" s="16">
        <f>83077+504000</f>
        <v>587077</v>
      </c>
      <c r="AH37" s="16">
        <f>504000*2</f>
        <v>1008000</v>
      </c>
      <c r="AI37" s="80">
        <f>504000*2</f>
        <v>1008000</v>
      </c>
    </row>
    <row r="38" spans="2:36">
      <c r="B38" s="23">
        <v>31</v>
      </c>
      <c r="C38" s="13" t="s">
        <v>27</v>
      </c>
      <c r="D38" s="13" t="s">
        <v>84</v>
      </c>
      <c r="E38" s="13" t="s">
        <v>45</v>
      </c>
      <c r="F38" s="9">
        <v>20082703</v>
      </c>
      <c r="G38" s="13" t="s">
        <v>46</v>
      </c>
      <c r="H38" s="14">
        <v>0</v>
      </c>
      <c r="I38" s="14">
        <v>0</v>
      </c>
      <c r="J38" s="14">
        <v>0</v>
      </c>
      <c r="K38" s="14">
        <v>23398000</v>
      </c>
      <c r="L38" s="98">
        <f t="shared" si="0"/>
        <v>22325000</v>
      </c>
      <c r="M38" s="195">
        <f>SUM(L$8:L38)</f>
        <v>533523276</v>
      </c>
      <c r="N38" s="14"/>
      <c r="O38" s="195">
        <f>SUM(N$8:N38)</f>
        <v>197665000</v>
      </c>
      <c r="P38" s="14"/>
      <c r="Q38" s="12"/>
      <c r="R38" s="108"/>
      <c r="S38" s="12"/>
      <c r="T38" s="14"/>
      <c r="U38" s="12"/>
      <c r="W38" s="90">
        <f t="shared" si="1"/>
        <v>22325000</v>
      </c>
      <c r="X38" s="16"/>
      <c r="Y38" s="17">
        <v>22325000</v>
      </c>
      <c r="Z38" s="16"/>
      <c r="AA38" s="80"/>
      <c r="AB38" s="79">
        <v>47099</v>
      </c>
      <c r="AC38" s="16">
        <v>0</v>
      </c>
      <c r="AD38" s="80">
        <v>0</v>
      </c>
      <c r="AE38" s="79">
        <v>232000</v>
      </c>
      <c r="AF38" s="16">
        <f>348100*2</f>
        <v>696200</v>
      </c>
      <c r="AG38" s="16">
        <f>348100*2</f>
        <v>696200</v>
      </c>
      <c r="AH38" s="16">
        <f>348100*2</f>
        <v>696200</v>
      </c>
      <c r="AI38" s="80">
        <f>348100*2</f>
        <v>696200</v>
      </c>
    </row>
    <row r="39" spans="2:36">
      <c r="B39" s="23">
        <v>32</v>
      </c>
      <c r="C39" s="187" t="s">
        <v>27</v>
      </c>
      <c r="D39" s="187" t="s">
        <v>84</v>
      </c>
      <c r="E39" s="187" t="s">
        <v>49</v>
      </c>
      <c r="F39" s="9">
        <v>20082705</v>
      </c>
      <c r="G39" s="187" t="s">
        <v>50</v>
      </c>
      <c r="H39" s="188">
        <v>0</v>
      </c>
      <c r="I39" s="188">
        <v>0</v>
      </c>
      <c r="J39" s="188">
        <v>0</v>
      </c>
      <c r="K39" s="188">
        <v>33780000</v>
      </c>
      <c r="L39" s="189">
        <f t="shared" ref="L39" si="2">SUM(X39:Y39)</f>
        <v>38828000</v>
      </c>
      <c r="M39" s="196">
        <f>SUM(L$8:L39)</f>
        <v>572351276</v>
      </c>
      <c r="N39" s="188"/>
      <c r="O39" s="196">
        <f>SUM(N$8:N39)</f>
        <v>197665000</v>
      </c>
      <c r="P39" s="188"/>
      <c r="Q39" s="190"/>
      <c r="R39" s="191"/>
      <c r="S39" s="190"/>
      <c r="T39" s="188"/>
      <c r="U39" s="190"/>
      <c r="W39" s="90">
        <f t="shared" ref="W39:W41" si="3">SUM(X39:AA39)</f>
        <v>38828000</v>
      </c>
      <c r="X39" s="16"/>
      <c r="Y39" s="17">
        <v>38828000</v>
      </c>
      <c r="Z39" s="16"/>
      <c r="AA39" s="80"/>
      <c r="AB39" s="79">
        <v>69925</v>
      </c>
      <c r="AC39" s="16">
        <v>0</v>
      </c>
      <c r="AD39" s="80">
        <v>0</v>
      </c>
      <c r="AE39" s="79">
        <v>0</v>
      </c>
      <c r="AF39" s="16">
        <v>0</v>
      </c>
      <c r="AG39" s="16">
        <f>465770+509000</f>
        <v>974770</v>
      </c>
      <c r="AH39" s="16">
        <f>509000*2</f>
        <v>1018000</v>
      </c>
      <c r="AI39" s="80">
        <f>509000*2</f>
        <v>1018000</v>
      </c>
    </row>
    <row r="40" spans="2:36">
      <c r="B40" s="186"/>
      <c r="C40" s="187" t="s">
        <v>9</v>
      </c>
      <c r="D40" s="187" t="s">
        <v>10</v>
      </c>
      <c r="E40" s="187" t="s">
        <v>10</v>
      </c>
      <c r="F40" s="15">
        <v>30000709</v>
      </c>
      <c r="G40" s="187" t="s">
        <v>238</v>
      </c>
      <c r="H40" s="188"/>
      <c r="I40" s="188"/>
      <c r="J40" s="188"/>
      <c r="K40" s="188"/>
      <c r="L40" s="189">
        <v>0</v>
      </c>
      <c r="M40" s="196">
        <f>SUM(L$8:L40)</f>
        <v>572351276</v>
      </c>
      <c r="N40" s="188">
        <v>22800000</v>
      </c>
      <c r="O40" s="196">
        <f>SUM(N$8:N40)</f>
        <v>220465000</v>
      </c>
      <c r="P40" s="188"/>
      <c r="Q40" s="190"/>
      <c r="R40" s="191"/>
      <c r="S40" s="190"/>
      <c r="T40" s="188"/>
      <c r="U40" s="190"/>
      <c r="W40" s="90">
        <f t="shared" si="3"/>
        <v>0</v>
      </c>
      <c r="X40" s="16"/>
      <c r="Y40" s="17"/>
      <c r="Z40" s="16"/>
      <c r="AA40" s="80"/>
      <c r="AB40" s="79">
        <v>0</v>
      </c>
      <c r="AC40" s="16">
        <v>0</v>
      </c>
      <c r="AD40" s="80">
        <v>0</v>
      </c>
      <c r="AE40" s="79">
        <v>0</v>
      </c>
      <c r="AF40" s="16">
        <v>0</v>
      </c>
      <c r="AG40" s="16">
        <v>0</v>
      </c>
      <c r="AH40" s="16">
        <v>0</v>
      </c>
      <c r="AI40" s="80">
        <v>0</v>
      </c>
    </row>
    <row r="41" spans="2:36">
      <c r="B41" s="25"/>
      <c r="C41" s="26" t="s">
        <v>9</v>
      </c>
      <c r="D41" s="26" t="s">
        <v>10</v>
      </c>
      <c r="E41" s="26" t="s">
        <v>10</v>
      </c>
      <c r="F41" s="32">
        <v>30000710</v>
      </c>
      <c r="G41" s="26" t="s">
        <v>239</v>
      </c>
      <c r="H41" s="27"/>
      <c r="I41" s="27"/>
      <c r="J41" s="27"/>
      <c r="K41" s="27"/>
      <c r="L41" s="99">
        <v>0</v>
      </c>
      <c r="M41" s="197">
        <f>SUM(L$8:L41)</f>
        <v>572351276</v>
      </c>
      <c r="N41" s="27">
        <v>1000000</v>
      </c>
      <c r="O41" s="197">
        <f>SUM(N$8:N41)</f>
        <v>221465000</v>
      </c>
      <c r="P41" s="27"/>
      <c r="Q41" s="28"/>
      <c r="R41" s="110"/>
      <c r="S41" s="28"/>
      <c r="T41" s="27"/>
      <c r="U41" s="28"/>
      <c r="W41" s="83">
        <f t="shared" si="3"/>
        <v>0</v>
      </c>
      <c r="X41" s="33"/>
      <c r="Y41" s="34"/>
      <c r="Z41" s="33"/>
      <c r="AA41" s="82"/>
      <c r="AB41" s="81">
        <v>0</v>
      </c>
      <c r="AC41" s="33">
        <v>0</v>
      </c>
      <c r="AD41" s="82">
        <v>0</v>
      </c>
      <c r="AE41" s="81">
        <v>0</v>
      </c>
      <c r="AF41" s="33">
        <v>0</v>
      </c>
      <c r="AG41" s="33">
        <v>0</v>
      </c>
      <c r="AH41" s="33">
        <v>0</v>
      </c>
      <c r="AI41" s="82">
        <v>0</v>
      </c>
    </row>
    <row r="42" spans="2:36">
      <c r="B42" s="15"/>
      <c r="C42" s="6"/>
      <c r="D42" s="6"/>
      <c r="E42" s="6"/>
      <c r="F42" s="15"/>
      <c r="G42" s="6"/>
      <c r="H42" s="16"/>
      <c r="I42" s="16"/>
      <c r="J42" s="16"/>
      <c r="K42" s="16"/>
      <c r="L42" s="16"/>
      <c r="M42" s="198"/>
      <c r="N42" s="16"/>
      <c r="O42" s="198"/>
      <c r="P42" s="17"/>
      <c r="Q42" s="17"/>
      <c r="R42" s="17"/>
      <c r="S42" s="17"/>
      <c r="T42" s="17"/>
      <c r="U42" s="15"/>
      <c r="W42" s="90"/>
      <c r="X42" s="16"/>
      <c r="Y42" s="17"/>
      <c r="Z42" s="16"/>
      <c r="AA42" s="80"/>
      <c r="AB42" s="79"/>
      <c r="AC42" s="16"/>
      <c r="AD42" s="80"/>
      <c r="AE42" s="79"/>
      <c r="AF42" s="16"/>
      <c r="AG42" s="16"/>
      <c r="AH42" s="16"/>
      <c r="AI42" s="80"/>
    </row>
    <row r="43" spans="2:36">
      <c r="B43" s="15"/>
      <c r="C43" s="6"/>
      <c r="D43" s="6"/>
      <c r="E43" s="6"/>
      <c r="F43" s="6"/>
      <c r="G43" s="6"/>
      <c r="H43" s="83">
        <f t="shared" ref="H43:I43" si="4">SUBTOTAL(9,H8:H41)</f>
        <v>1819000</v>
      </c>
      <c r="I43" s="83">
        <f t="shared" si="4"/>
        <v>4520000</v>
      </c>
      <c r="J43" s="83">
        <f t="shared" ref="J43:K43" si="5">SUBTOTAL(9,J8:J41)</f>
        <v>18256000</v>
      </c>
      <c r="K43" s="83">
        <f t="shared" si="5"/>
        <v>466177000</v>
      </c>
      <c r="L43" s="17"/>
      <c r="M43" s="198"/>
      <c r="N43" s="204" t="s">
        <v>242</v>
      </c>
      <c r="O43" s="193">
        <v>76538000</v>
      </c>
      <c r="P43" s="201"/>
      <c r="Q43" s="17"/>
      <c r="R43" s="17"/>
      <c r="S43" s="17"/>
      <c r="T43" s="17"/>
      <c r="U43" s="15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6"/>
    </row>
    <row r="44" spans="2:36">
      <c r="B44" s="18" t="s">
        <v>76</v>
      </c>
      <c r="L44" s="16"/>
      <c r="M44" s="199"/>
      <c r="N44" s="204" t="s">
        <v>241</v>
      </c>
      <c r="O44" s="202">
        <v>144927000</v>
      </c>
      <c r="P44" s="203">
        <f>+O44/O47</f>
        <v>0.18478398072178553</v>
      </c>
      <c r="R44" s="6"/>
      <c r="S44" s="6"/>
      <c r="T44" s="6"/>
      <c r="U44" s="15"/>
      <c r="W44" s="6"/>
      <c r="X44" s="16"/>
      <c r="Y44" s="16"/>
      <c r="Z44" s="16"/>
      <c r="AA44" s="16"/>
      <c r="AB44" s="16"/>
      <c r="AC44" s="16"/>
      <c r="AD44" s="16"/>
      <c r="AE44" s="6"/>
      <c r="AF44" s="6"/>
      <c r="AG44" s="16"/>
      <c r="AH44" s="16"/>
      <c r="AI44" s="6"/>
      <c r="AJ44" s="6"/>
    </row>
    <row r="45" spans="2:36">
      <c r="B45" t="s">
        <v>77</v>
      </c>
      <c r="C45" t="s">
        <v>90</v>
      </c>
      <c r="L45" s="16"/>
      <c r="M45" s="199"/>
      <c r="N45" s="102"/>
      <c r="O45" s="198">
        <f>SUM(O43:O44)</f>
        <v>221465000</v>
      </c>
      <c r="P45" s="6"/>
      <c r="Q45" s="6"/>
      <c r="R45" s="6"/>
      <c r="S45" s="6"/>
      <c r="T45" s="6"/>
      <c r="U45" s="15"/>
      <c r="W45" s="6"/>
      <c r="X45" s="16"/>
      <c r="Y45" s="16"/>
      <c r="Z45" s="16"/>
      <c r="AA45" s="16"/>
      <c r="AB45" s="16"/>
      <c r="AC45" s="16"/>
      <c r="AD45" s="16"/>
      <c r="AE45" s="6"/>
      <c r="AF45" s="6"/>
      <c r="AG45" s="16"/>
      <c r="AH45" s="16"/>
      <c r="AI45" s="6"/>
      <c r="AJ45" s="6"/>
    </row>
    <row r="46" spans="2:36">
      <c r="B46" t="s">
        <v>78</v>
      </c>
      <c r="C46" t="s">
        <v>129</v>
      </c>
      <c r="H46" s="92">
        <v>0</v>
      </c>
      <c r="I46" s="92">
        <v>0</v>
      </c>
      <c r="J46" s="92">
        <v>226000</v>
      </c>
      <c r="K46" s="100">
        <v>110054000</v>
      </c>
      <c r="L46" s="16"/>
      <c r="M46" s="199"/>
      <c r="N46" s="102"/>
      <c r="O46" s="199"/>
      <c r="P46" s="6"/>
      <c r="Q46" s="6"/>
      <c r="R46" s="6"/>
      <c r="S46" s="6"/>
      <c r="T46" s="6"/>
      <c r="U46" s="77"/>
      <c r="V46" s="7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6"/>
    </row>
    <row r="47" spans="2:36">
      <c r="B47" t="s">
        <v>79</v>
      </c>
      <c r="C47" t="s">
        <v>91</v>
      </c>
      <c r="H47" s="93">
        <v>200000</v>
      </c>
      <c r="I47" s="93">
        <v>1145000</v>
      </c>
      <c r="J47" s="93">
        <v>3033000</v>
      </c>
      <c r="K47" s="101">
        <v>126821000</v>
      </c>
      <c r="L47" s="16"/>
      <c r="M47" s="199"/>
      <c r="N47" s="204" t="s">
        <v>240</v>
      </c>
      <c r="O47" s="193">
        <v>784305000</v>
      </c>
      <c r="P47" s="201"/>
      <c r="Q47" s="6"/>
      <c r="R47" s="6"/>
      <c r="S47" s="6"/>
      <c r="T47" s="6"/>
      <c r="U47" s="77"/>
      <c r="V47" s="77"/>
      <c r="W47" s="17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6"/>
    </row>
    <row r="48" spans="2:36">
      <c r="B48" t="s">
        <v>80</v>
      </c>
      <c r="C48" t="s">
        <v>81</v>
      </c>
      <c r="L48" s="16"/>
      <c r="M48" s="199"/>
      <c r="N48" s="6"/>
      <c r="O48" s="199"/>
      <c r="P48" s="6"/>
      <c r="Q48" s="6"/>
      <c r="R48" s="6"/>
      <c r="S48" s="6"/>
      <c r="T48" s="6"/>
      <c r="U48" s="15"/>
      <c r="W48" s="6"/>
      <c r="X48" s="16"/>
      <c r="Y48" s="16"/>
      <c r="Z48" s="6"/>
      <c r="AA48" s="6"/>
      <c r="AB48" s="6"/>
      <c r="AC48" s="6"/>
      <c r="AD48" s="6"/>
      <c r="AE48" s="6"/>
      <c r="AF48" s="6"/>
      <c r="AG48" s="16"/>
      <c r="AH48" s="16"/>
      <c r="AI48" s="6"/>
      <c r="AJ48" s="6"/>
    </row>
    <row r="49" spans="2:36">
      <c r="B49" t="s">
        <v>87</v>
      </c>
      <c r="C49" t="s">
        <v>82</v>
      </c>
      <c r="L49" s="16"/>
      <c r="M49" s="199"/>
      <c r="N49" s="6"/>
      <c r="O49" s="199"/>
      <c r="P49" s="6"/>
      <c r="Q49" s="6"/>
      <c r="R49" s="6"/>
      <c r="S49" s="6"/>
      <c r="T49" s="6"/>
      <c r="U49" s="15"/>
      <c r="W49" s="6"/>
      <c r="X49" s="16"/>
      <c r="Y49" s="16"/>
      <c r="Z49" s="6"/>
      <c r="AA49" s="6"/>
      <c r="AB49" s="6"/>
      <c r="AC49" s="6"/>
      <c r="AD49" s="102"/>
      <c r="AE49" s="17"/>
      <c r="AF49" s="6"/>
      <c r="AG49" s="16"/>
      <c r="AH49" s="16"/>
      <c r="AI49" s="6"/>
      <c r="AJ49" s="6"/>
    </row>
    <row r="50" spans="2:36">
      <c r="B50"/>
      <c r="C50"/>
      <c r="L50" s="16"/>
      <c r="M50" s="199"/>
      <c r="N50" s="6"/>
      <c r="O50" s="199"/>
      <c r="P50" s="6"/>
      <c r="Q50" s="6"/>
      <c r="R50" s="6"/>
      <c r="S50" s="6"/>
      <c r="T50" s="6"/>
      <c r="U50" s="15"/>
      <c r="W50" s="6"/>
      <c r="X50" s="6"/>
      <c r="Y50" s="6"/>
      <c r="Z50" s="6"/>
      <c r="AA50" s="6"/>
      <c r="AB50" s="6"/>
      <c r="AC50" s="6"/>
      <c r="AD50" s="102"/>
      <c r="AE50" s="17"/>
      <c r="AF50" s="6"/>
      <c r="AG50" s="16"/>
      <c r="AH50" s="16"/>
      <c r="AI50" s="6"/>
      <c r="AJ50" s="6"/>
    </row>
    <row r="51" spans="2:36">
      <c r="L51" s="16"/>
      <c r="M51" s="199"/>
      <c r="N51" s="6"/>
      <c r="O51" s="199"/>
      <c r="P51" s="6"/>
      <c r="Q51" s="6"/>
      <c r="R51" s="6"/>
      <c r="S51" s="6"/>
      <c r="T51" s="6"/>
      <c r="U51" s="15"/>
      <c r="W51" s="6"/>
      <c r="X51" s="6"/>
      <c r="Y51" s="6"/>
      <c r="Z51" s="6"/>
      <c r="AA51" s="6"/>
      <c r="AB51" s="6"/>
      <c r="AC51" s="6"/>
      <c r="AD51" s="102"/>
      <c r="AE51" s="103"/>
      <c r="AF51" s="6"/>
      <c r="AG51" s="16"/>
      <c r="AH51" s="16"/>
      <c r="AI51" s="6"/>
      <c r="AJ51" s="6"/>
    </row>
    <row r="52" spans="2:36">
      <c r="L52" s="6"/>
      <c r="M52" s="199"/>
      <c r="N52" s="6"/>
      <c r="O52" s="199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2:36">
      <c r="L53" s="16"/>
      <c r="M53" s="199"/>
      <c r="N53" s="6"/>
      <c r="O53" s="199"/>
      <c r="P53" s="6"/>
      <c r="Q53" s="6"/>
      <c r="R53" s="6"/>
      <c r="S53" s="6"/>
      <c r="T53" s="6"/>
      <c r="U53" s="15"/>
      <c r="W53" s="6"/>
      <c r="X53" s="6"/>
      <c r="Y53" s="6"/>
      <c r="Z53" s="6"/>
      <c r="AA53" s="6"/>
      <c r="AB53" s="6"/>
      <c r="AC53" s="6"/>
      <c r="AD53" s="6"/>
      <c r="AE53" s="104"/>
      <c r="AF53" s="6"/>
      <c r="AG53" s="16"/>
      <c r="AH53" s="16"/>
      <c r="AI53" s="6"/>
      <c r="AJ53" s="6"/>
    </row>
    <row r="54" spans="2:36">
      <c r="L54" s="16"/>
      <c r="M54" s="199"/>
      <c r="N54" s="6"/>
      <c r="O54" s="199"/>
      <c r="P54" s="6"/>
      <c r="Q54" s="6"/>
      <c r="R54" s="6"/>
      <c r="S54" s="6"/>
      <c r="T54" s="6"/>
      <c r="U54" s="15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6"/>
    </row>
    <row r="85" spans="28:30">
      <c r="AB85" s="3"/>
      <c r="AC85" s="3"/>
      <c r="AD85" s="3"/>
    </row>
    <row r="86" spans="28:30">
      <c r="AB86" s="3"/>
      <c r="AC86" s="3"/>
      <c r="AD86" s="3"/>
    </row>
    <row r="87" spans="28:30">
      <c r="AB87" s="3">
        <v>69210</v>
      </c>
      <c r="AC87" s="3"/>
      <c r="AD87" s="3"/>
    </row>
    <row r="88" spans="28:30">
      <c r="AB88" s="3">
        <v>47099</v>
      </c>
      <c r="AC88" s="3"/>
      <c r="AD88" s="3"/>
    </row>
    <row r="89" spans="28:30">
      <c r="AB89" s="33">
        <v>69925</v>
      </c>
      <c r="AC89" s="33"/>
      <c r="AD89" s="33"/>
    </row>
  </sheetData>
  <mergeCells count="9">
    <mergeCell ref="W5:AI5"/>
    <mergeCell ref="AE6:AI6"/>
    <mergeCell ref="AB6:AD6"/>
    <mergeCell ref="W6:AA6"/>
    <mergeCell ref="L6:M6"/>
    <mergeCell ref="N6:O6"/>
    <mergeCell ref="P6:Q6"/>
    <mergeCell ref="T6:U6"/>
    <mergeCell ref="R6:S6"/>
  </mergeCells>
  <pageMargins left="0.25" right="0.25" top="0.25" bottom="0.25" header="0.3" footer="0.3"/>
  <pageSetup scale="80" orientation="landscape" r:id="rId1"/>
  <headerFooter>
    <oddFooter>&amp;L&amp;D&amp;C&amp;F&amp;RPage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L45"/>
  <sheetViews>
    <sheetView workbookViewId="0">
      <selection activeCell="K14" sqref="K14"/>
    </sheetView>
  </sheetViews>
  <sheetFormatPr defaultColWidth="9.140625" defaultRowHeight="15"/>
  <cols>
    <col min="1" max="1" width="9.140625" style="2"/>
    <col min="2" max="2" width="18.7109375" style="2" customWidth="1"/>
    <col min="3" max="3" width="12.85546875" style="2" bestFit="1" customWidth="1"/>
    <col min="4" max="4" width="9" style="2" bestFit="1" customWidth="1"/>
    <col min="5" max="5" width="18.42578125" style="2" customWidth="1"/>
    <col min="6" max="6" width="31.85546875" style="2" customWidth="1"/>
    <col min="7" max="12" width="11.7109375" style="2" customWidth="1"/>
    <col min="13" max="16384" width="9.140625" style="2"/>
  </cols>
  <sheetData>
    <row r="4" spans="2:12">
      <c r="B4" s="4" t="s">
        <v>132</v>
      </c>
    </row>
    <row r="5" spans="2:12" ht="15.75">
      <c r="B5" s="2" t="s">
        <v>122</v>
      </c>
      <c r="G5" s="5"/>
      <c r="H5" s="6"/>
      <c r="I5" s="6"/>
      <c r="J5" s="16"/>
      <c r="K5" s="6"/>
    </row>
    <row r="6" spans="2:12">
      <c r="G6" s="6"/>
      <c r="H6" s="6"/>
      <c r="I6" s="179" t="s">
        <v>231</v>
      </c>
      <c r="J6" s="180"/>
      <c r="K6" s="181" t="s">
        <v>232</v>
      </c>
      <c r="L6" s="182"/>
    </row>
    <row r="7" spans="2:12">
      <c r="B7" s="22" t="s">
        <v>131</v>
      </c>
      <c r="C7" s="8" t="s">
        <v>1</v>
      </c>
      <c r="D7" s="8" t="s">
        <v>124</v>
      </c>
      <c r="E7" s="8" t="s">
        <v>119</v>
      </c>
      <c r="F7" s="8" t="s">
        <v>2</v>
      </c>
      <c r="G7" s="8" t="s">
        <v>128</v>
      </c>
      <c r="H7" s="8" t="s">
        <v>92</v>
      </c>
      <c r="I7" s="96" t="s">
        <v>93</v>
      </c>
      <c r="J7" s="95" t="s">
        <v>7</v>
      </c>
      <c r="K7" s="96" t="s">
        <v>93</v>
      </c>
      <c r="L7" s="95" t="s">
        <v>7</v>
      </c>
    </row>
    <row r="8" spans="2:12">
      <c r="B8" s="35" t="s">
        <v>126</v>
      </c>
      <c r="C8" s="10" t="s">
        <v>19</v>
      </c>
      <c r="D8" s="10">
        <v>30000501</v>
      </c>
      <c r="E8" s="30"/>
      <c r="F8" s="10" t="s">
        <v>96</v>
      </c>
      <c r="G8" s="11">
        <v>0</v>
      </c>
      <c r="H8" s="11">
        <v>0</v>
      </c>
      <c r="I8" s="97">
        <v>2000000</v>
      </c>
      <c r="J8" s="12">
        <f t="shared" ref="J8:J13" si="0">SUM(G8:I8)</f>
        <v>2000000</v>
      </c>
      <c r="K8" s="97">
        <v>2000000</v>
      </c>
      <c r="L8" s="12">
        <f>K8+H8+G8</f>
        <v>2000000</v>
      </c>
    </row>
    <row r="9" spans="2:12">
      <c r="B9" s="35" t="s">
        <v>126</v>
      </c>
      <c r="C9" s="13" t="s">
        <v>19</v>
      </c>
      <c r="D9" s="10">
        <v>30000502</v>
      </c>
      <c r="E9" s="30"/>
      <c r="F9" s="13" t="s">
        <v>97</v>
      </c>
      <c r="G9" s="14">
        <v>0</v>
      </c>
      <c r="H9" s="14">
        <v>0</v>
      </c>
      <c r="I9" s="98">
        <v>800000</v>
      </c>
      <c r="J9" s="12">
        <f t="shared" si="0"/>
        <v>800000</v>
      </c>
      <c r="K9" s="98">
        <v>800000</v>
      </c>
      <c r="L9" s="12">
        <f t="shared" ref="L9:L13" si="1">K9+H9+G9</f>
        <v>800000</v>
      </c>
    </row>
    <row r="10" spans="2:12">
      <c r="B10" s="35" t="s">
        <v>126</v>
      </c>
      <c r="C10" s="13" t="s">
        <v>95</v>
      </c>
      <c r="D10" s="10">
        <v>30000503</v>
      </c>
      <c r="E10" s="30"/>
      <c r="F10" s="13" t="s">
        <v>98</v>
      </c>
      <c r="G10" s="14">
        <v>0</v>
      </c>
      <c r="H10" s="14">
        <v>3916000</v>
      </c>
      <c r="I10" s="98">
        <v>3916000</v>
      </c>
      <c r="J10" s="12">
        <f t="shared" si="0"/>
        <v>7832000</v>
      </c>
      <c r="K10" s="98">
        <v>3916000</v>
      </c>
      <c r="L10" s="12">
        <f t="shared" si="1"/>
        <v>7832000</v>
      </c>
    </row>
    <row r="11" spans="2:12">
      <c r="B11" s="36" t="s">
        <v>120</v>
      </c>
      <c r="C11" s="13" t="s">
        <v>99</v>
      </c>
      <c r="D11" s="13">
        <v>30000198</v>
      </c>
      <c r="E11" s="13" t="s">
        <v>118</v>
      </c>
      <c r="F11" s="13" t="s">
        <v>107</v>
      </c>
      <c r="G11" s="14">
        <v>0</v>
      </c>
      <c r="H11" s="14">
        <v>0</v>
      </c>
      <c r="I11" s="98">
        <v>1000000</v>
      </c>
      <c r="J11" s="12">
        <f t="shared" si="0"/>
        <v>1000000</v>
      </c>
      <c r="K11" s="98">
        <v>1000000</v>
      </c>
      <c r="L11" s="12">
        <f t="shared" si="1"/>
        <v>1000000</v>
      </c>
    </row>
    <row r="12" spans="2:12">
      <c r="B12" s="36" t="s">
        <v>105</v>
      </c>
      <c r="C12" s="13" t="s">
        <v>94</v>
      </c>
      <c r="D12" s="13">
        <v>30000119</v>
      </c>
      <c r="E12" s="13" t="s">
        <v>118</v>
      </c>
      <c r="F12" s="13" t="s">
        <v>121</v>
      </c>
      <c r="G12" s="14">
        <v>2000000</v>
      </c>
      <c r="H12" s="14">
        <v>4450000</v>
      </c>
      <c r="I12" s="98">
        <v>2750000</v>
      </c>
      <c r="J12" s="12">
        <f t="shared" si="0"/>
        <v>9200000</v>
      </c>
      <c r="K12" s="98">
        <v>2700000</v>
      </c>
      <c r="L12" s="12">
        <f t="shared" si="1"/>
        <v>9150000</v>
      </c>
    </row>
    <row r="13" spans="2:12">
      <c r="B13" s="37" t="s">
        <v>120</v>
      </c>
      <c r="C13" s="26" t="s">
        <v>99</v>
      </c>
      <c r="D13" s="26">
        <v>91000007</v>
      </c>
      <c r="E13" s="26" t="s">
        <v>118</v>
      </c>
      <c r="F13" s="26" t="s">
        <v>114</v>
      </c>
      <c r="G13" s="27">
        <v>1750000</v>
      </c>
      <c r="H13" s="27">
        <v>4135000</v>
      </c>
      <c r="I13" s="99">
        <v>1000000</v>
      </c>
      <c r="J13" s="28">
        <f t="shared" si="0"/>
        <v>6885000</v>
      </c>
      <c r="K13" s="99">
        <v>1000000</v>
      </c>
      <c r="L13" s="28">
        <f t="shared" si="1"/>
        <v>6885000</v>
      </c>
    </row>
    <row r="14" spans="2:12">
      <c r="C14" s="6"/>
      <c r="D14" s="6"/>
      <c r="E14" s="6"/>
      <c r="F14" s="6"/>
      <c r="G14" s="16"/>
      <c r="H14" s="16"/>
      <c r="I14" s="16"/>
      <c r="J14" s="17"/>
    </row>
    <row r="16" spans="2:12">
      <c r="B16" s="31" t="s">
        <v>76</v>
      </c>
    </row>
    <row r="17" spans="2:4">
      <c r="B17" t="s">
        <v>133</v>
      </c>
      <c r="C17"/>
      <c r="D17"/>
    </row>
    <row r="18" spans="2:4">
      <c r="B18" s="2" t="s">
        <v>134</v>
      </c>
    </row>
    <row r="22" spans="2:4">
      <c r="B22"/>
    </row>
    <row r="23" spans="2:4">
      <c r="B23"/>
    </row>
    <row r="38" spans="1:11">
      <c r="A38" s="2">
        <v>6</v>
      </c>
      <c r="B38" s="13" t="s">
        <v>117</v>
      </c>
      <c r="C38" s="13" t="s">
        <v>100</v>
      </c>
      <c r="D38" s="13"/>
      <c r="E38" s="13"/>
      <c r="F38" s="13" t="s">
        <v>109</v>
      </c>
      <c r="G38" s="14"/>
      <c r="H38" s="14"/>
      <c r="I38" s="14"/>
      <c r="J38" s="12">
        <f>SUM(G38:I38)</f>
        <v>0</v>
      </c>
      <c r="K38" s="6"/>
    </row>
    <row r="39" spans="1:11">
      <c r="A39" s="2">
        <v>9</v>
      </c>
      <c r="B39" s="13" t="s">
        <v>117</v>
      </c>
      <c r="C39" s="13" t="s">
        <v>103</v>
      </c>
      <c r="D39" s="13"/>
      <c r="E39" s="13"/>
      <c r="F39" s="13" t="s">
        <v>112</v>
      </c>
      <c r="G39" s="14"/>
      <c r="H39" s="14"/>
      <c r="I39" s="14"/>
      <c r="J39" s="12">
        <f t="shared" ref="J39:J44" si="2">SUM(G39:I39)</f>
        <v>0</v>
      </c>
      <c r="K39" s="6"/>
    </row>
    <row r="40" spans="1:11">
      <c r="A40" s="2">
        <v>10</v>
      </c>
      <c r="B40" s="13" t="s">
        <v>117</v>
      </c>
      <c r="C40" s="13" t="s">
        <v>104</v>
      </c>
      <c r="D40" s="13"/>
      <c r="E40" s="13"/>
      <c r="F40" s="13" t="s">
        <v>113</v>
      </c>
      <c r="G40" s="14"/>
      <c r="H40" s="14"/>
      <c r="I40" s="14"/>
      <c r="J40" s="12">
        <f t="shared" si="2"/>
        <v>0</v>
      </c>
      <c r="K40" s="6"/>
    </row>
    <row r="41" spans="1:11">
      <c r="A41" s="2">
        <v>12</v>
      </c>
      <c r="B41" s="13" t="s">
        <v>117</v>
      </c>
      <c r="C41" s="13" t="s">
        <v>106</v>
      </c>
      <c r="D41" s="13"/>
      <c r="E41" s="13"/>
      <c r="F41" s="13" t="s">
        <v>115</v>
      </c>
      <c r="G41" s="14"/>
      <c r="H41" s="14"/>
      <c r="I41" s="14"/>
      <c r="J41" s="12">
        <f t="shared" si="2"/>
        <v>0</v>
      </c>
      <c r="K41" s="6"/>
    </row>
    <row r="42" spans="1:11">
      <c r="A42" s="2">
        <v>14</v>
      </c>
      <c r="B42" s="13" t="s">
        <v>117</v>
      </c>
      <c r="C42" s="13" t="s">
        <v>106</v>
      </c>
      <c r="D42" s="13"/>
      <c r="E42" s="13"/>
      <c r="F42" s="13" t="s">
        <v>116</v>
      </c>
      <c r="G42" s="14"/>
      <c r="H42" s="14"/>
      <c r="I42" s="14"/>
      <c r="J42" s="12">
        <f t="shared" si="2"/>
        <v>0</v>
      </c>
      <c r="K42" s="6"/>
    </row>
    <row r="43" spans="1:11">
      <c r="A43" s="2">
        <v>7</v>
      </c>
      <c r="B43" s="13" t="s">
        <v>123</v>
      </c>
      <c r="C43" s="13" t="s">
        <v>101</v>
      </c>
      <c r="D43" s="13"/>
      <c r="E43" s="13"/>
      <c r="F43" s="13" t="s">
        <v>110</v>
      </c>
      <c r="G43" s="14"/>
      <c r="H43" s="14"/>
      <c r="I43" s="14"/>
      <c r="J43" s="12">
        <f t="shared" si="2"/>
        <v>0</v>
      </c>
      <c r="K43" s="6"/>
    </row>
    <row r="44" spans="1:11">
      <c r="A44" s="2">
        <v>5</v>
      </c>
      <c r="B44" s="13" t="s">
        <v>127</v>
      </c>
      <c r="C44" s="13" t="s">
        <v>100</v>
      </c>
      <c r="D44" s="13"/>
      <c r="E44" s="13"/>
      <c r="F44" s="13" t="s">
        <v>108</v>
      </c>
      <c r="G44" s="14"/>
      <c r="H44" s="14"/>
      <c r="I44" s="14"/>
      <c r="J44" s="12">
        <f t="shared" si="2"/>
        <v>0</v>
      </c>
      <c r="K44" s="6"/>
    </row>
    <row r="45" spans="1:11">
      <c r="A45" s="2">
        <v>8</v>
      </c>
      <c r="B45" s="13" t="s">
        <v>123</v>
      </c>
      <c r="C45" s="13" t="s">
        <v>102</v>
      </c>
      <c r="D45" s="13"/>
      <c r="E45" s="13"/>
      <c r="F45" s="13" t="s">
        <v>111</v>
      </c>
      <c r="G45" s="14"/>
      <c r="H45" s="14"/>
      <c r="I45" s="14"/>
      <c r="J45" s="12">
        <f>SUM(G45:I45)</f>
        <v>0</v>
      </c>
      <c r="K45" s="6"/>
    </row>
  </sheetData>
  <sortState ref="A8:I20">
    <sortCondition ref="A8:A20"/>
  </sortState>
  <mergeCells count="2">
    <mergeCell ref="I6:J6"/>
    <mergeCell ref="K6:L6"/>
  </mergeCells>
  <pageMargins left="0.25" right="0.25" top="0.25" bottom="0.25" header="0.3" footer="0.3"/>
  <pageSetup scale="83" orientation="landscape" r:id="rId1"/>
  <headerFooter>
    <oddFooter>&amp;L&amp;D&amp;C&amp;F&amp;RPage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9"/>
  <sheetViews>
    <sheetView topLeftCell="A4" workbookViewId="0">
      <selection activeCell="A8" sqref="A8"/>
    </sheetView>
  </sheetViews>
  <sheetFormatPr defaultColWidth="9.140625" defaultRowHeight="12"/>
  <cols>
    <col min="1" max="1" width="9.140625" style="40"/>
    <col min="2" max="2" width="17" style="40" customWidth="1"/>
    <col min="3" max="3" width="42" style="40" bestFit="1" customWidth="1"/>
    <col min="4" max="4" width="11.7109375" style="40" bestFit="1" customWidth="1"/>
    <col min="5" max="5" width="21" style="40" customWidth="1"/>
    <col min="6" max="6" width="12.42578125" style="40" bestFit="1" customWidth="1"/>
    <col min="7" max="7" width="10" style="40" customWidth="1"/>
    <col min="8" max="8" width="9.28515625" style="40" bestFit="1" customWidth="1"/>
    <col min="9" max="9" width="10.5703125" style="40" bestFit="1" customWidth="1"/>
    <col min="10" max="10" width="10.42578125" style="40" customWidth="1"/>
    <col min="11" max="12" width="6.5703125" style="40" bestFit="1" customWidth="1"/>
    <col min="13" max="14" width="9" style="40" bestFit="1" customWidth="1"/>
    <col min="15" max="15" width="9.85546875" style="40" bestFit="1" customWidth="1"/>
    <col min="16" max="17" width="10.85546875" style="41" customWidth="1"/>
    <col min="18" max="18" width="9.140625" style="41"/>
    <col min="19" max="16384" width="9.140625" style="40"/>
  </cols>
  <sheetData>
    <row r="1" spans="1:21" ht="15.75">
      <c r="B1" s="39"/>
    </row>
    <row r="2" spans="1:21">
      <c r="M2" s="42"/>
      <c r="N2" s="43" t="s">
        <v>145</v>
      </c>
      <c r="O2" s="42" t="s">
        <v>145</v>
      </c>
      <c r="P2" s="44" t="s">
        <v>146</v>
      </c>
      <c r="Q2" s="45" t="s">
        <v>146</v>
      </c>
    </row>
    <row r="3" spans="1:21">
      <c r="L3" s="46"/>
      <c r="M3" s="47"/>
      <c r="N3" s="48" t="s">
        <v>147</v>
      </c>
      <c r="O3" s="47" t="s">
        <v>148</v>
      </c>
      <c r="P3" s="48" t="s">
        <v>149</v>
      </c>
      <c r="Q3" s="49" t="s">
        <v>150</v>
      </c>
    </row>
    <row r="4" spans="1:21">
      <c r="L4" s="50" t="s">
        <v>151</v>
      </c>
      <c r="M4" s="51"/>
      <c r="N4" s="52"/>
      <c r="O4" s="51">
        <v>1</v>
      </c>
      <c r="P4" s="52">
        <v>1.0214000000000001</v>
      </c>
      <c r="Q4" s="51">
        <v>1.0306999999999999</v>
      </c>
    </row>
    <row r="5" spans="1:21">
      <c r="L5" s="41" t="s">
        <v>141</v>
      </c>
      <c r="N5" s="53">
        <v>6.83</v>
      </c>
      <c r="O5" s="54">
        <v>7.02</v>
      </c>
      <c r="P5" s="53">
        <v>7.17</v>
      </c>
      <c r="Q5" s="54">
        <v>7.39</v>
      </c>
    </row>
    <row r="6" spans="1:21">
      <c r="L6" s="41" t="s">
        <v>142</v>
      </c>
      <c r="N6" s="53">
        <v>0</v>
      </c>
      <c r="O6" s="54">
        <v>0</v>
      </c>
      <c r="P6" s="53">
        <v>1.1299999999999999</v>
      </c>
      <c r="Q6" s="54">
        <v>1.3499999999999996</v>
      </c>
    </row>
    <row r="7" spans="1:21">
      <c r="L7" s="41" t="s">
        <v>143</v>
      </c>
      <c r="N7" s="53">
        <v>-6.83</v>
      </c>
      <c r="O7" s="54">
        <v>-7.02</v>
      </c>
      <c r="P7" s="53">
        <v>-6.04</v>
      </c>
      <c r="Q7" s="54">
        <v>-6.04</v>
      </c>
    </row>
    <row r="9" spans="1:21" s="55" customFormat="1" ht="36">
      <c r="D9" s="56"/>
      <c r="E9" s="56"/>
      <c r="F9" s="56"/>
      <c r="G9" s="57" t="s">
        <v>152</v>
      </c>
      <c r="H9" s="58"/>
      <c r="I9" s="58"/>
      <c r="J9" s="184" t="s">
        <v>153</v>
      </c>
      <c r="K9" s="59" t="s">
        <v>154</v>
      </c>
      <c r="L9" s="60"/>
      <c r="M9" s="61" t="s">
        <v>155</v>
      </c>
      <c r="N9" s="62"/>
      <c r="O9" s="63"/>
      <c r="P9" s="64" t="s">
        <v>156</v>
      </c>
      <c r="Q9" s="64"/>
      <c r="R9" s="65"/>
    </row>
    <row r="10" spans="1:21" s="55" customFormat="1" ht="24">
      <c r="A10" s="112" t="s">
        <v>0</v>
      </c>
      <c r="B10" s="112" t="s">
        <v>157</v>
      </c>
      <c r="C10" s="113" t="s">
        <v>158</v>
      </c>
      <c r="D10" s="114" t="s">
        <v>159</v>
      </c>
      <c r="E10" s="115" t="s">
        <v>160</v>
      </c>
      <c r="F10" s="115" t="s">
        <v>161</v>
      </c>
      <c r="G10" s="116" t="s">
        <v>141</v>
      </c>
      <c r="H10" s="117" t="s">
        <v>142</v>
      </c>
      <c r="I10" s="117" t="s">
        <v>143</v>
      </c>
      <c r="J10" s="185"/>
      <c r="K10" s="118" t="s">
        <v>149</v>
      </c>
      <c r="L10" s="119" t="s">
        <v>150</v>
      </c>
      <c r="M10" s="118" t="s">
        <v>149</v>
      </c>
      <c r="N10" s="119" t="s">
        <v>150</v>
      </c>
      <c r="O10" s="120" t="s">
        <v>162</v>
      </c>
      <c r="P10" s="47" t="s">
        <v>149</v>
      </c>
      <c r="Q10" s="49" t="s">
        <v>150</v>
      </c>
      <c r="R10" s="49"/>
      <c r="S10" s="66"/>
      <c r="U10" s="67"/>
    </row>
    <row r="11" spans="1:21" s="55" customFormat="1">
      <c r="A11" s="121" t="s">
        <v>223</v>
      </c>
      <c r="B11" s="121" t="s">
        <v>102</v>
      </c>
      <c r="C11" s="122" t="s">
        <v>205</v>
      </c>
      <c r="D11" s="123">
        <v>20062696</v>
      </c>
      <c r="E11" s="124" t="s">
        <v>206</v>
      </c>
      <c r="F11" s="124" t="s">
        <v>102</v>
      </c>
      <c r="G11" s="125">
        <v>73004</v>
      </c>
      <c r="H11" s="126">
        <v>0</v>
      </c>
      <c r="I11" s="127">
        <v>0</v>
      </c>
      <c r="J11" s="128">
        <v>41306</v>
      </c>
      <c r="K11" s="129">
        <v>0</v>
      </c>
      <c r="L11" s="130">
        <v>0.41666666666666669</v>
      </c>
      <c r="M11" s="131">
        <f t="shared" ref="M11:M17" si="0">ROUND(((G11*$P$5)+(H11*$P$6)+(I11*$P$7))*K11,-2)</f>
        <v>0</v>
      </c>
      <c r="N11" s="132">
        <f t="shared" ref="N11:N17" si="1">ROUND(((G11*$Q$5)+(H11*$Q$6)+(I11*$Q$7))*L11,-2)</f>
        <v>224800</v>
      </c>
      <c r="O11" s="133">
        <f t="shared" ref="O11:O34" si="2">SUM(M11:N11)</f>
        <v>224800</v>
      </c>
      <c r="P11" s="134">
        <f t="shared" ref="P11:P34" si="3">ROUND((G11*$P$5)+(H11*$P$6)+(I11*$P$7),-2)</f>
        <v>523400</v>
      </c>
      <c r="Q11" s="135">
        <f t="shared" ref="Q11:Q34" si="4">ROUND((G11*$Q$5)+(H11*$Q$6)+(I11*$Q$7),-2)</f>
        <v>539500</v>
      </c>
      <c r="R11" s="69"/>
      <c r="U11" s="67"/>
    </row>
    <row r="12" spans="1:21" s="71" customFormat="1">
      <c r="A12" s="121" t="s">
        <v>228</v>
      </c>
      <c r="B12" s="121" t="s">
        <v>219</v>
      </c>
      <c r="C12" s="136" t="s">
        <v>33</v>
      </c>
      <c r="D12" s="137">
        <v>20062698</v>
      </c>
      <c r="E12" s="138" t="s">
        <v>196</v>
      </c>
      <c r="F12" s="138" t="s">
        <v>197</v>
      </c>
      <c r="G12" s="125">
        <v>0</v>
      </c>
      <c r="H12" s="126">
        <v>89230</v>
      </c>
      <c r="I12" s="127">
        <v>0</v>
      </c>
      <c r="J12" s="128">
        <v>41269</v>
      </c>
      <c r="K12" s="139">
        <v>0</v>
      </c>
      <c r="L12" s="140">
        <v>0.58333333333333337</v>
      </c>
      <c r="M12" s="131">
        <f t="shared" si="0"/>
        <v>0</v>
      </c>
      <c r="N12" s="132">
        <f t="shared" si="1"/>
        <v>70300</v>
      </c>
      <c r="O12" s="141">
        <f t="shared" si="2"/>
        <v>70300</v>
      </c>
      <c r="P12" s="134">
        <f t="shared" si="3"/>
        <v>100800</v>
      </c>
      <c r="Q12" s="135">
        <f t="shared" si="4"/>
        <v>120500</v>
      </c>
      <c r="R12" s="65"/>
      <c r="S12" s="55"/>
      <c r="U12" s="72"/>
    </row>
    <row r="13" spans="1:21" s="55" customFormat="1">
      <c r="A13" s="121" t="s">
        <v>223</v>
      </c>
      <c r="B13" s="121" t="s">
        <v>173</v>
      </c>
      <c r="C13" s="136" t="s">
        <v>174</v>
      </c>
      <c r="D13" s="142">
        <v>20062699</v>
      </c>
      <c r="E13" s="124" t="s">
        <v>175</v>
      </c>
      <c r="F13" s="124" t="s">
        <v>176</v>
      </c>
      <c r="G13" s="143">
        <v>56180</v>
      </c>
      <c r="H13" s="144">
        <v>0</v>
      </c>
      <c r="I13" s="145">
        <v>0</v>
      </c>
      <c r="J13" s="146">
        <v>41275</v>
      </c>
      <c r="K13" s="129">
        <v>0</v>
      </c>
      <c r="L13" s="130">
        <v>0.5</v>
      </c>
      <c r="M13" s="131">
        <f t="shared" si="0"/>
        <v>0</v>
      </c>
      <c r="N13" s="132">
        <f t="shared" si="1"/>
        <v>207600</v>
      </c>
      <c r="O13" s="133">
        <f t="shared" si="2"/>
        <v>207600</v>
      </c>
      <c r="P13" s="134">
        <f t="shared" si="3"/>
        <v>402800</v>
      </c>
      <c r="Q13" s="135">
        <f t="shared" si="4"/>
        <v>415200</v>
      </c>
      <c r="R13" s="69"/>
      <c r="S13" s="73"/>
    </row>
    <row r="14" spans="1:21" s="55" customFormat="1">
      <c r="A14" s="147" t="s">
        <v>223</v>
      </c>
      <c r="B14" s="147" t="s">
        <v>191</v>
      </c>
      <c r="C14" s="122" t="s">
        <v>192</v>
      </c>
      <c r="D14" s="148">
        <v>20081216</v>
      </c>
      <c r="E14" s="149" t="s">
        <v>193</v>
      </c>
      <c r="F14" s="149" t="s">
        <v>191</v>
      </c>
      <c r="G14" s="150">
        <v>57229</v>
      </c>
      <c r="H14" s="151">
        <v>0</v>
      </c>
      <c r="I14" s="152">
        <v>35000</v>
      </c>
      <c r="J14" s="153">
        <v>40725</v>
      </c>
      <c r="K14" s="154">
        <v>1</v>
      </c>
      <c r="L14" s="155">
        <v>1</v>
      </c>
      <c r="M14" s="156">
        <f t="shared" si="0"/>
        <v>198900</v>
      </c>
      <c r="N14" s="157">
        <f t="shared" si="1"/>
        <v>211500</v>
      </c>
      <c r="O14" s="133">
        <f t="shared" si="2"/>
        <v>410400</v>
      </c>
      <c r="P14" s="134">
        <f t="shared" si="3"/>
        <v>198900</v>
      </c>
      <c r="Q14" s="135">
        <f t="shared" si="4"/>
        <v>211500</v>
      </c>
      <c r="R14" s="69"/>
      <c r="T14" s="73"/>
      <c r="U14" s="74"/>
    </row>
    <row r="15" spans="1:21" s="71" customFormat="1">
      <c r="A15" s="147" t="s">
        <v>223</v>
      </c>
      <c r="B15" s="147" t="s">
        <v>177</v>
      </c>
      <c r="C15" s="122" t="s">
        <v>178</v>
      </c>
      <c r="D15" s="148">
        <v>20081217</v>
      </c>
      <c r="E15" s="149" t="s">
        <v>179</v>
      </c>
      <c r="F15" s="149" t="s">
        <v>180</v>
      </c>
      <c r="G15" s="150">
        <v>72241</v>
      </c>
      <c r="H15" s="151">
        <v>0</v>
      </c>
      <c r="I15" s="152">
        <v>0</v>
      </c>
      <c r="J15" s="153">
        <v>40520</v>
      </c>
      <c r="K15" s="154">
        <v>1</v>
      </c>
      <c r="L15" s="155">
        <v>1</v>
      </c>
      <c r="M15" s="156">
        <f t="shared" si="0"/>
        <v>518000</v>
      </c>
      <c r="N15" s="157">
        <f t="shared" si="1"/>
        <v>533900</v>
      </c>
      <c r="O15" s="133">
        <f t="shared" si="2"/>
        <v>1051900</v>
      </c>
      <c r="P15" s="134">
        <f t="shared" si="3"/>
        <v>518000</v>
      </c>
      <c r="Q15" s="135">
        <f t="shared" si="4"/>
        <v>533900</v>
      </c>
      <c r="R15" s="68"/>
      <c r="U15" s="72"/>
    </row>
    <row r="16" spans="1:21" s="71" customFormat="1">
      <c r="A16" s="147" t="s">
        <v>223</v>
      </c>
      <c r="B16" s="147" t="s">
        <v>187</v>
      </c>
      <c r="C16" s="122" t="s">
        <v>188</v>
      </c>
      <c r="D16" s="148">
        <v>20081218</v>
      </c>
      <c r="E16" s="149" t="s">
        <v>189</v>
      </c>
      <c r="F16" s="149" t="s">
        <v>190</v>
      </c>
      <c r="G16" s="150">
        <v>62950</v>
      </c>
      <c r="H16" s="151">
        <v>0</v>
      </c>
      <c r="I16" s="152">
        <v>25646</v>
      </c>
      <c r="J16" s="153">
        <v>40589</v>
      </c>
      <c r="K16" s="154">
        <v>1</v>
      </c>
      <c r="L16" s="155">
        <v>1</v>
      </c>
      <c r="M16" s="156">
        <f t="shared" si="0"/>
        <v>296400</v>
      </c>
      <c r="N16" s="157">
        <f t="shared" si="1"/>
        <v>310300</v>
      </c>
      <c r="O16" s="133">
        <f t="shared" si="2"/>
        <v>606700</v>
      </c>
      <c r="P16" s="134">
        <f t="shared" si="3"/>
        <v>296400</v>
      </c>
      <c r="Q16" s="135">
        <f t="shared" si="4"/>
        <v>310300</v>
      </c>
      <c r="R16" s="68"/>
    </row>
    <row r="17" spans="1:19" s="71" customFormat="1">
      <c r="A17" s="147" t="s">
        <v>223</v>
      </c>
      <c r="B17" s="147" t="s">
        <v>104</v>
      </c>
      <c r="C17" s="122" t="s">
        <v>181</v>
      </c>
      <c r="D17" s="148">
        <v>20081221</v>
      </c>
      <c r="E17" s="149" t="s">
        <v>182</v>
      </c>
      <c r="F17" s="149" t="s">
        <v>104</v>
      </c>
      <c r="G17" s="150">
        <v>69704</v>
      </c>
      <c r="H17" s="151">
        <v>0</v>
      </c>
      <c r="I17" s="152">
        <v>48838</v>
      </c>
      <c r="J17" s="153">
        <v>41274</v>
      </c>
      <c r="K17" s="154">
        <v>0</v>
      </c>
      <c r="L17" s="155">
        <v>0.58333333333333337</v>
      </c>
      <c r="M17" s="156">
        <f t="shared" si="0"/>
        <v>0</v>
      </c>
      <c r="N17" s="157">
        <f t="shared" si="1"/>
        <v>128400</v>
      </c>
      <c r="O17" s="133">
        <f t="shared" si="2"/>
        <v>128400</v>
      </c>
      <c r="P17" s="134">
        <f t="shared" si="3"/>
        <v>204800</v>
      </c>
      <c r="Q17" s="135">
        <f t="shared" si="4"/>
        <v>220100</v>
      </c>
      <c r="R17" s="69"/>
    </row>
    <row r="18" spans="1:19" s="71" customFormat="1">
      <c r="A18" s="147" t="s">
        <v>223</v>
      </c>
      <c r="B18" s="147" t="s">
        <v>100</v>
      </c>
      <c r="C18" s="122" t="s">
        <v>224</v>
      </c>
      <c r="D18" s="148">
        <v>20081223</v>
      </c>
      <c r="E18" s="138" t="s">
        <v>170</v>
      </c>
      <c r="F18" s="138" t="s">
        <v>100</v>
      </c>
      <c r="G18" s="150">
        <v>68685</v>
      </c>
      <c r="H18" s="151">
        <v>0</v>
      </c>
      <c r="I18" s="152">
        <v>0</v>
      </c>
      <c r="J18" s="153">
        <v>40878</v>
      </c>
      <c r="K18" s="158">
        <v>0.58333333333333337</v>
      </c>
      <c r="L18" s="159">
        <v>1</v>
      </c>
      <c r="M18" s="156">
        <f>ROUND(((G18*$P$5)+(H18*$P$6)+(I18*$P$7))*K18,-2)+ROUND(27000*K18,-2)</f>
        <v>303100</v>
      </c>
      <c r="N18" s="157">
        <f>ROUND(((G18*$Q$5)+(H18*$Q$6)+(I18*$Q$7))*L18,-2)+27000</f>
        <v>534600</v>
      </c>
      <c r="O18" s="133">
        <f t="shared" si="2"/>
        <v>837700</v>
      </c>
      <c r="P18" s="134">
        <f t="shared" si="3"/>
        <v>492500</v>
      </c>
      <c r="Q18" s="135">
        <f t="shared" si="4"/>
        <v>507600</v>
      </c>
      <c r="R18" s="75"/>
    </row>
    <row r="19" spans="1:19" s="71" customFormat="1">
      <c r="A19" s="147" t="s">
        <v>223</v>
      </c>
      <c r="B19" s="147" t="s">
        <v>100</v>
      </c>
      <c r="C19" s="122" t="s">
        <v>171</v>
      </c>
      <c r="D19" s="148">
        <v>20081223</v>
      </c>
      <c r="E19" s="138" t="s">
        <v>172</v>
      </c>
      <c r="F19" s="138" t="s">
        <v>100</v>
      </c>
      <c r="G19" s="150">
        <v>4925</v>
      </c>
      <c r="H19" s="151">
        <v>0</v>
      </c>
      <c r="I19" s="152">
        <v>0</v>
      </c>
      <c r="J19" s="153">
        <v>40756</v>
      </c>
      <c r="K19" s="158">
        <v>0.91666666666666663</v>
      </c>
      <c r="L19" s="159">
        <v>1</v>
      </c>
      <c r="M19" s="156">
        <f t="shared" ref="M19:M34" si="5">ROUND(((G19*$P$5)+(H19*$P$6)+(I19*$P$7))*K19,-2)</f>
        <v>32400</v>
      </c>
      <c r="N19" s="157">
        <f t="shared" ref="N19:N34" si="6">ROUND(((G19*$Q$5)+(H19*$Q$6)+(I19*$Q$7))*L19,-2)</f>
        <v>36400</v>
      </c>
      <c r="O19" s="133">
        <f t="shared" si="2"/>
        <v>68800</v>
      </c>
      <c r="P19" s="134">
        <f t="shared" si="3"/>
        <v>35300</v>
      </c>
      <c r="Q19" s="135">
        <f t="shared" si="4"/>
        <v>36400</v>
      </c>
      <c r="R19" s="69"/>
      <c r="S19" s="70"/>
    </row>
    <row r="20" spans="1:19" s="71" customFormat="1">
      <c r="A20" s="147" t="s">
        <v>223</v>
      </c>
      <c r="B20" s="147" t="s">
        <v>198</v>
      </c>
      <c r="C20" s="122" t="s">
        <v>199</v>
      </c>
      <c r="D20" s="148">
        <v>20081224</v>
      </c>
      <c r="E20" s="149" t="s">
        <v>200</v>
      </c>
      <c r="F20" s="149" t="s">
        <v>201</v>
      </c>
      <c r="G20" s="150">
        <v>70000</v>
      </c>
      <c r="H20" s="151">
        <v>0</v>
      </c>
      <c r="I20" s="152">
        <v>19360</v>
      </c>
      <c r="J20" s="153">
        <v>41395</v>
      </c>
      <c r="K20" s="154">
        <v>0</v>
      </c>
      <c r="L20" s="155">
        <f>2/12</f>
        <v>0.16666666666666666</v>
      </c>
      <c r="M20" s="156">
        <f t="shared" si="5"/>
        <v>0</v>
      </c>
      <c r="N20" s="157">
        <f t="shared" si="6"/>
        <v>66700</v>
      </c>
      <c r="O20" s="133">
        <f t="shared" si="2"/>
        <v>66700</v>
      </c>
      <c r="P20" s="134">
        <f t="shared" si="3"/>
        <v>385000</v>
      </c>
      <c r="Q20" s="135">
        <f t="shared" si="4"/>
        <v>400400</v>
      </c>
      <c r="R20" s="69"/>
    </row>
    <row r="21" spans="1:19" s="71" customFormat="1">
      <c r="A21" s="147" t="s">
        <v>228</v>
      </c>
      <c r="B21" s="147" t="s">
        <v>23</v>
      </c>
      <c r="C21" s="122" t="s">
        <v>211</v>
      </c>
      <c r="D21" s="137">
        <v>20081225</v>
      </c>
      <c r="E21" s="138" t="s">
        <v>212</v>
      </c>
      <c r="F21" s="138" t="s">
        <v>213</v>
      </c>
      <c r="G21" s="150">
        <v>69950</v>
      </c>
      <c r="H21" s="151">
        <v>5000</v>
      </c>
      <c r="I21" s="152">
        <v>0</v>
      </c>
      <c r="J21" s="153">
        <v>41275</v>
      </c>
      <c r="K21" s="158">
        <v>0</v>
      </c>
      <c r="L21" s="159">
        <v>0.5</v>
      </c>
      <c r="M21" s="156">
        <f t="shared" si="5"/>
        <v>0</v>
      </c>
      <c r="N21" s="157">
        <f t="shared" si="6"/>
        <v>261800</v>
      </c>
      <c r="O21" s="133">
        <f t="shared" si="2"/>
        <v>261800</v>
      </c>
      <c r="P21" s="134">
        <f t="shared" si="3"/>
        <v>507200</v>
      </c>
      <c r="Q21" s="135">
        <f t="shared" si="4"/>
        <v>523700</v>
      </c>
      <c r="R21" s="75"/>
    </row>
    <row r="22" spans="1:19" s="71" customFormat="1">
      <c r="A22" s="147" t="s">
        <v>223</v>
      </c>
      <c r="B22" s="147" t="s">
        <v>194</v>
      </c>
      <c r="C22" s="122" t="s">
        <v>195</v>
      </c>
      <c r="D22" s="148">
        <v>20081316</v>
      </c>
      <c r="E22" s="149" t="s">
        <v>196</v>
      </c>
      <c r="F22" s="149" t="s">
        <v>197</v>
      </c>
      <c r="G22" s="150">
        <v>27470</v>
      </c>
      <c r="H22" s="151">
        <v>0</v>
      </c>
      <c r="I22" s="152">
        <v>0</v>
      </c>
      <c r="J22" s="153">
        <v>40395</v>
      </c>
      <c r="K22" s="154">
        <v>1</v>
      </c>
      <c r="L22" s="155">
        <v>1</v>
      </c>
      <c r="M22" s="156">
        <f t="shared" si="5"/>
        <v>197000</v>
      </c>
      <c r="N22" s="157">
        <f t="shared" si="6"/>
        <v>203000</v>
      </c>
      <c r="O22" s="133">
        <f t="shared" si="2"/>
        <v>400000</v>
      </c>
      <c r="P22" s="134">
        <f t="shared" si="3"/>
        <v>197000</v>
      </c>
      <c r="Q22" s="135">
        <f t="shared" si="4"/>
        <v>203000</v>
      </c>
      <c r="R22" s="68"/>
    </row>
    <row r="23" spans="1:19" s="71" customFormat="1">
      <c r="A23" s="147" t="s">
        <v>223</v>
      </c>
      <c r="B23" s="147" t="s">
        <v>167</v>
      </c>
      <c r="C23" s="122" t="s">
        <v>168</v>
      </c>
      <c r="D23" s="148">
        <v>20082702</v>
      </c>
      <c r="E23" s="149" t="s">
        <v>169</v>
      </c>
      <c r="F23" s="149" t="s">
        <v>167</v>
      </c>
      <c r="G23" s="160">
        <v>70000</v>
      </c>
      <c r="H23" s="161">
        <v>0</v>
      </c>
      <c r="I23" s="162">
        <v>0</v>
      </c>
      <c r="J23" s="163">
        <v>41275</v>
      </c>
      <c r="K23" s="154">
        <v>0</v>
      </c>
      <c r="L23" s="155">
        <v>0.5</v>
      </c>
      <c r="M23" s="156">
        <f t="shared" si="5"/>
        <v>0</v>
      </c>
      <c r="N23" s="157">
        <f t="shared" si="6"/>
        <v>258700</v>
      </c>
      <c r="O23" s="133">
        <f t="shared" si="2"/>
        <v>258700</v>
      </c>
      <c r="P23" s="134">
        <f t="shared" si="3"/>
        <v>501900</v>
      </c>
      <c r="Q23" s="135">
        <f t="shared" si="4"/>
        <v>517300</v>
      </c>
      <c r="R23" s="69"/>
      <c r="S23" s="70"/>
    </row>
    <row r="24" spans="1:19" s="55" customFormat="1">
      <c r="A24" s="121" t="s">
        <v>223</v>
      </c>
      <c r="B24" s="121" t="s">
        <v>163</v>
      </c>
      <c r="C24" s="136" t="s">
        <v>164</v>
      </c>
      <c r="D24" s="164">
        <v>20082703</v>
      </c>
      <c r="E24" s="165" t="s">
        <v>165</v>
      </c>
      <c r="F24" s="165" t="s">
        <v>166</v>
      </c>
      <c r="G24" s="125">
        <v>47099</v>
      </c>
      <c r="H24" s="126">
        <v>0</v>
      </c>
      <c r="I24" s="127">
        <v>0</v>
      </c>
      <c r="J24" s="166">
        <v>41214</v>
      </c>
      <c r="K24" s="167">
        <v>0</v>
      </c>
      <c r="L24" s="168">
        <v>0.66666666666666663</v>
      </c>
      <c r="M24" s="131">
        <f t="shared" si="5"/>
        <v>0</v>
      </c>
      <c r="N24" s="132">
        <f t="shared" si="6"/>
        <v>232000</v>
      </c>
      <c r="O24" s="169">
        <f t="shared" si="2"/>
        <v>232000</v>
      </c>
      <c r="P24" s="134">
        <f t="shared" si="3"/>
        <v>337700</v>
      </c>
      <c r="Q24" s="135">
        <f t="shared" si="4"/>
        <v>348100</v>
      </c>
      <c r="R24" s="69"/>
      <c r="S24" s="66"/>
    </row>
    <row r="25" spans="1:19" s="55" customFormat="1">
      <c r="A25" s="121" t="s">
        <v>223</v>
      </c>
      <c r="B25" s="121" t="s">
        <v>94</v>
      </c>
      <c r="C25" s="136" t="s">
        <v>209</v>
      </c>
      <c r="D25" s="142">
        <v>30000119</v>
      </c>
      <c r="E25" s="170" t="s">
        <v>210</v>
      </c>
      <c r="F25" s="170" t="s">
        <v>94</v>
      </c>
      <c r="G25" s="125">
        <v>29500</v>
      </c>
      <c r="H25" s="126">
        <v>0</v>
      </c>
      <c r="I25" s="127">
        <v>0</v>
      </c>
      <c r="J25" s="128">
        <v>41113</v>
      </c>
      <c r="K25" s="139">
        <v>0</v>
      </c>
      <c r="L25" s="140">
        <v>1</v>
      </c>
      <c r="M25" s="131">
        <f t="shared" si="5"/>
        <v>0</v>
      </c>
      <c r="N25" s="132">
        <f t="shared" si="6"/>
        <v>218000</v>
      </c>
      <c r="O25" s="141">
        <f t="shared" si="2"/>
        <v>218000</v>
      </c>
      <c r="P25" s="134">
        <f t="shared" si="3"/>
        <v>211500</v>
      </c>
      <c r="Q25" s="135">
        <f t="shared" si="4"/>
        <v>218000</v>
      </c>
      <c r="R25" s="69"/>
    </row>
    <row r="26" spans="1:19" s="55" customFormat="1">
      <c r="A26" s="121" t="s">
        <v>228</v>
      </c>
      <c r="B26" s="121" t="s">
        <v>214</v>
      </c>
      <c r="C26" s="136" t="s">
        <v>215</v>
      </c>
      <c r="D26" s="137">
        <v>30000120</v>
      </c>
      <c r="E26" s="138" t="s">
        <v>216</v>
      </c>
      <c r="F26" s="138" t="s">
        <v>191</v>
      </c>
      <c r="G26" s="125">
        <v>27500</v>
      </c>
      <c r="H26" s="126">
        <v>7200</v>
      </c>
      <c r="I26" s="127">
        <v>13768</v>
      </c>
      <c r="J26" s="171">
        <v>41275</v>
      </c>
      <c r="K26" s="139">
        <v>0</v>
      </c>
      <c r="L26" s="140">
        <v>0.5</v>
      </c>
      <c r="M26" s="131">
        <f t="shared" si="5"/>
        <v>0</v>
      </c>
      <c r="N26" s="132">
        <f t="shared" si="6"/>
        <v>64900</v>
      </c>
      <c r="O26" s="141">
        <f t="shared" si="2"/>
        <v>64900</v>
      </c>
      <c r="P26" s="134">
        <f t="shared" si="3"/>
        <v>122200</v>
      </c>
      <c r="Q26" s="135">
        <f t="shared" si="4"/>
        <v>129800</v>
      </c>
      <c r="R26" s="65"/>
    </row>
    <row r="27" spans="1:19" s="55" customFormat="1">
      <c r="A27" s="121" t="s">
        <v>228</v>
      </c>
      <c r="B27" s="121" t="s">
        <v>217</v>
      </c>
      <c r="C27" s="136" t="s">
        <v>57</v>
      </c>
      <c r="D27" s="137">
        <v>30000129</v>
      </c>
      <c r="E27" s="138" t="s">
        <v>218</v>
      </c>
      <c r="F27" s="138" t="s">
        <v>191</v>
      </c>
      <c r="G27" s="125">
        <v>0</v>
      </c>
      <c r="H27" s="126">
        <v>69203</v>
      </c>
      <c r="I27" s="127">
        <v>0</v>
      </c>
      <c r="J27" s="171">
        <v>41275</v>
      </c>
      <c r="K27" s="139">
        <v>0</v>
      </c>
      <c r="L27" s="140">
        <v>0.5</v>
      </c>
      <c r="M27" s="131">
        <f t="shared" si="5"/>
        <v>0</v>
      </c>
      <c r="N27" s="132">
        <f t="shared" si="6"/>
        <v>46700</v>
      </c>
      <c r="O27" s="141">
        <f t="shared" si="2"/>
        <v>46700</v>
      </c>
      <c r="P27" s="134">
        <f t="shared" si="3"/>
        <v>78200</v>
      </c>
      <c r="Q27" s="135">
        <f t="shared" si="4"/>
        <v>93400</v>
      </c>
      <c r="R27" s="65"/>
    </row>
    <row r="28" spans="1:19" s="55" customFormat="1">
      <c r="A28" s="121" t="s">
        <v>223</v>
      </c>
      <c r="B28" s="121" t="s">
        <v>106</v>
      </c>
      <c r="C28" s="136" t="s">
        <v>183</v>
      </c>
      <c r="D28" s="148">
        <v>30000130</v>
      </c>
      <c r="E28" s="124" t="s">
        <v>184</v>
      </c>
      <c r="F28" s="124" t="s">
        <v>185</v>
      </c>
      <c r="G28" s="150">
        <v>3500</v>
      </c>
      <c r="H28" s="126">
        <v>0</v>
      </c>
      <c r="I28" s="127">
        <v>0</v>
      </c>
      <c r="J28" s="128">
        <v>40817</v>
      </c>
      <c r="K28" s="129">
        <f>9/12</f>
        <v>0.75</v>
      </c>
      <c r="L28" s="130">
        <v>1</v>
      </c>
      <c r="M28" s="131">
        <f t="shared" si="5"/>
        <v>18800</v>
      </c>
      <c r="N28" s="132">
        <f t="shared" si="6"/>
        <v>25900</v>
      </c>
      <c r="O28" s="133">
        <f t="shared" si="2"/>
        <v>44700</v>
      </c>
      <c r="P28" s="134">
        <f t="shared" si="3"/>
        <v>25100</v>
      </c>
      <c r="Q28" s="135">
        <f t="shared" si="4"/>
        <v>25900</v>
      </c>
      <c r="R28" s="69"/>
    </row>
    <row r="29" spans="1:19" s="55" customFormat="1">
      <c r="A29" s="121" t="s">
        <v>223</v>
      </c>
      <c r="B29" s="121" t="s">
        <v>106</v>
      </c>
      <c r="C29" s="136" t="s">
        <v>186</v>
      </c>
      <c r="D29" s="148">
        <v>30000130</v>
      </c>
      <c r="E29" s="124" t="s">
        <v>184</v>
      </c>
      <c r="F29" s="124" t="s">
        <v>185</v>
      </c>
      <c r="G29" s="125">
        <v>0</v>
      </c>
      <c r="H29" s="126">
        <v>54000</v>
      </c>
      <c r="I29" s="127">
        <v>0</v>
      </c>
      <c r="J29" s="128">
        <v>41365</v>
      </c>
      <c r="K29" s="129">
        <v>0</v>
      </c>
      <c r="L29" s="130">
        <f>3/12</f>
        <v>0.25</v>
      </c>
      <c r="M29" s="131">
        <f t="shared" si="5"/>
        <v>0</v>
      </c>
      <c r="N29" s="132">
        <f t="shared" si="6"/>
        <v>18200</v>
      </c>
      <c r="O29" s="133">
        <f t="shared" si="2"/>
        <v>18200</v>
      </c>
      <c r="P29" s="134">
        <f t="shared" si="3"/>
        <v>61000</v>
      </c>
      <c r="Q29" s="135">
        <f t="shared" si="4"/>
        <v>72900</v>
      </c>
      <c r="R29" s="69"/>
    </row>
    <row r="30" spans="1:19" s="55" customFormat="1">
      <c r="A30" s="147" t="s">
        <v>229</v>
      </c>
      <c r="B30" s="147" t="s">
        <v>19</v>
      </c>
      <c r="C30" s="122" t="s">
        <v>96</v>
      </c>
      <c r="D30" s="137">
        <v>30000501</v>
      </c>
      <c r="E30" s="138" t="s">
        <v>220</v>
      </c>
      <c r="F30" s="138" t="s">
        <v>221</v>
      </c>
      <c r="G30" s="150">
        <v>8000</v>
      </c>
      <c r="H30" s="151">
        <v>0</v>
      </c>
      <c r="I30" s="152">
        <v>8000</v>
      </c>
      <c r="J30" s="153">
        <v>41153</v>
      </c>
      <c r="K30" s="158">
        <v>0</v>
      </c>
      <c r="L30" s="159">
        <v>0.83333333333333337</v>
      </c>
      <c r="M30" s="156">
        <f t="shared" si="5"/>
        <v>0</v>
      </c>
      <c r="N30" s="157">
        <f t="shared" si="6"/>
        <v>9000</v>
      </c>
      <c r="O30" s="133">
        <f t="shared" si="2"/>
        <v>9000</v>
      </c>
      <c r="P30" s="134">
        <f t="shared" si="3"/>
        <v>9000</v>
      </c>
      <c r="Q30" s="135">
        <f t="shared" si="4"/>
        <v>10800</v>
      </c>
      <c r="R30" s="75"/>
      <c r="S30" s="71"/>
    </row>
    <row r="31" spans="1:19" s="55" customFormat="1">
      <c r="A31" s="147" t="s">
        <v>229</v>
      </c>
      <c r="B31" s="147" t="s">
        <v>19</v>
      </c>
      <c r="C31" s="122" t="s">
        <v>97</v>
      </c>
      <c r="D31" s="137">
        <v>30000502</v>
      </c>
      <c r="E31" s="138" t="s">
        <v>189</v>
      </c>
      <c r="F31" s="138" t="s">
        <v>190</v>
      </c>
      <c r="G31" s="150">
        <f>3250*90%</f>
        <v>2925</v>
      </c>
      <c r="H31" s="151">
        <v>0</v>
      </c>
      <c r="I31" s="152">
        <v>0</v>
      </c>
      <c r="J31" s="163">
        <v>40848</v>
      </c>
      <c r="K31" s="172">
        <v>0.66666666666666663</v>
      </c>
      <c r="L31" s="173">
        <v>1</v>
      </c>
      <c r="M31" s="156">
        <f t="shared" si="5"/>
        <v>14000</v>
      </c>
      <c r="N31" s="157">
        <f t="shared" si="6"/>
        <v>21600</v>
      </c>
      <c r="O31" s="133">
        <f t="shared" si="2"/>
        <v>35600</v>
      </c>
      <c r="P31" s="134">
        <f t="shared" si="3"/>
        <v>21000</v>
      </c>
      <c r="Q31" s="135">
        <f t="shared" si="4"/>
        <v>21600</v>
      </c>
      <c r="R31" s="75"/>
      <c r="S31" s="70"/>
    </row>
    <row r="32" spans="1:19" s="71" customFormat="1">
      <c r="A32" s="121" t="s">
        <v>229</v>
      </c>
      <c r="B32" s="121" t="s">
        <v>95</v>
      </c>
      <c r="C32" s="136" t="s">
        <v>98</v>
      </c>
      <c r="D32" s="137">
        <v>30000503</v>
      </c>
      <c r="E32" s="138" t="s">
        <v>222</v>
      </c>
      <c r="F32" s="138" t="s">
        <v>100</v>
      </c>
      <c r="G32" s="125">
        <f>15000*20%</f>
        <v>3000</v>
      </c>
      <c r="H32" s="126">
        <v>0</v>
      </c>
      <c r="I32" s="127">
        <v>0</v>
      </c>
      <c r="J32" s="128">
        <v>41182</v>
      </c>
      <c r="K32" s="139">
        <v>0</v>
      </c>
      <c r="L32" s="140">
        <v>0.83333333333333337</v>
      </c>
      <c r="M32" s="131">
        <f t="shared" si="5"/>
        <v>0</v>
      </c>
      <c r="N32" s="132">
        <f t="shared" si="6"/>
        <v>18500</v>
      </c>
      <c r="O32" s="141">
        <f t="shared" si="2"/>
        <v>18500</v>
      </c>
      <c r="P32" s="134">
        <f t="shared" si="3"/>
        <v>21500</v>
      </c>
      <c r="Q32" s="135">
        <f t="shared" si="4"/>
        <v>22200</v>
      </c>
      <c r="R32" s="65"/>
      <c r="S32" s="55"/>
    </row>
    <row r="33" spans="1:21" s="71" customFormat="1">
      <c r="A33" s="121" t="s">
        <v>223</v>
      </c>
      <c r="B33" s="121" t="s">
        <v>99</v>
      </c>
      <c r="C33" s="136" t="s">
        <v>207</v>
      </c>
      <c r="D33" s="137">
        <v>91000007</v>
      </c>
      <c r="E33" s="138" t="s">
        <v>208</v>
      </c>
      <c r="F33" s="138" t="s">
        <v>99</v>
      </c>
      <c r="G33" s="125">
        <v>16036</v>
      </c>
      <c r="H33" s="126">
        <v>0</v>
      </c>
      <c r="I33" s="127">
        <v>0</v>
      </c>
      <c r="J33" s="171">
        <v>40664</v>
      </c>
      <c r="K33" s="139">
        <v>1</v>
      </c>
      <c r="L33" s="140">
        <v>1</v>
      </c>
      <c r="M33" s="131">
        <f t="shared" si="5"/>
        <v>115000</v>
      </c>
      <c r="N33" s="132">
        <f t="shared" si="6"/>
        <v>118500</v>
      </c>
      <c r="O33" s="141">
        <f t="shared" si="2"/>
        <v>233500</v>
      </c>
      <c r="P33" s="134">
        <f t="shared" si="3"/>
        <v>115000</v>
      </c>
      <c r="Q33" s="135">
        <f t="shared" si="4"/>
        <v>118500</v>
      </c>
      <c r="R33" s="65"/>
      <c r="S33" s="55"/>
      <c r="T33" s="70"/>
      <c r="U33" s="72"/>
    </row>
    <row r="34" spans="1:21" s="55" customFormat="1">
      <c r="A34" s="121" t="s">
        <v>223</v>
      </c>
      <c r="B34" s="121" t="s">
        <v>102</v>
      </c>
      <c r="C34" s="136" t="s">
        <v>202</v>
      </c>
      <c r="D34" s="174" t="s">
        <v>203</v>
      </c>
      <c r="E34" s="138" t="s">
        <v>204</v>
      </c>
      <c r="F34" s="138" t="s">
        <v>102</v>
      </c>
      <c r="G34" s="125">
        <v>53000</v>
      </c>
      <c r="H34" s="126">
        <v>0</v>
      </c>
      <c r="I34" s="127">
        <v>0</v>
      </c>
      <c r="J34" s="171">
        <v>41167</v>
      </c>
      <c r="K34" s="139">
        <v>0</v>
      </c>
      <c r="L34" s="140">
        <f>10/12</f>
        <v>0.83333333333333337</v>
      </c>
      <c r="M34" s="131">
        <f t="shared" si="5"/>
        <v>0</v>
      </c>
      <c r="N34" s="132">
        <f t="shared" si="6"/>
        <v>326400</v>
      </c>
      <c r="O34" s="133">
        <f t="shared" si="2"/>
        <v>326400</v>
      </c>
      <c r="P34" s="134">
        <f t="shared" si="3"/>
        <v>380000</v>
      </c>
      <c r="Q34" s="135">
        <f t="shared" si="4"/>
        <v>391700</v>
      </c>
      <c r="R34" s="65"/>
    </row>
    <row r="36" spans="1:21">
      <c r="A36" s="111" t="s">
        <v>237</v>
      </c>
    </row>
    <row r="37" spans="1:21">
      <c r="A37" s="55" t="s">
        <v>227</v>
      </c>
    </row>
    <row r="38" spans="1:21">
      <c r="A38" s="55" t="s">
        <v>225</v>
      </c>
    </row>
    <row r="39" spans="1:21">
      <c r="A39" s="55" t="s">
        <v>226</v>
      </c>
    </row>
  </sheetData>
  <sortState ref="A11:S34">
    <sortCondition ref="D11:D34"/>
  </sortState>
  <mergeCells count="1">
    <mergeCell ref="J9:J10"/>
  </mergeCells>
  <pageMargins left="0.25" right="0.25" top="0.25" bottom="0.25" header="0.3" footer="0.3"/>
  <pageSetup scale="61" orientation="landscape" r:id="rId1"/>
  <headerFoot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2011-13 Appropriated Funds</vt:lpstr>
      <vt:lpstr>2011-13 Alternatively Financed</vt:lpstr>
      <vt:lpstr>M&amp;O Request</vt:lpstr>
      <vt:lpstr>'2011-13 Alternatively Financed'!Print_Area</vt:lpstr>
      <vt:lpstr>'2011-13 Appropriated Funds'!Print_Area</vt:lpstr>
      <vt:lpstr>'M&amp;O Request'!Print_Area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Doty</dc:creator>
  <cp:lastModifiedBy>dgraham</cp:lastModifiedBy>
  <cp:lastPrinted>2010-12-14T19:03:54Z</cp:lastPrinted>
  <dcterms:created xsi:type="dcterms:W3CDTF">2010-05-23T22:40:05Z</dcterms:created>
  <dcterms:modified xsi:type="dcterms:W3CDTF">2010-12-15T19:29:15Z</dcterms:modified>
</cp:coreProperties>
</file>